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drawings/drawing9.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3.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15.xml" ContentType="application/vnd.openxmlformats-officedocument.drawing+xml"/>
  <Override PartName="/xl/charts/chart13.xml" ContentType="application/vnd.openxmlformats-officedocument.drawingml.chart+xml"/>
  <Override PartName="/xl/charts/style10.xml" ContentType="application/vnd.ms-office.chartstyle+xml"/>
  <Override PartName="/xl/charts/colors10.xml" ContentType="application/vnd.ms-office.chartcolorstyle+xml"/>
  <Override PartName="/xl/charts/chart14.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6.xml" ContentType="application/vnd.openxmlformats-officedocument.drawing+xml"/>
  <Override PartName="/xl/charts/chart15.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7.xml" ContentType="application/vnd.openxmlformats-officedocument.drawingml.chartshapes+xml"/>
  <Override PartName="/xl/charts/chart16.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drawings/drawing20.xml" ContentType="application/vnd.openxmlformats-officedocument.drawing+xml"/>
  <Override PartName="/xl/charts/chart17.xml" ContentType="application/vnd.openxmlformats-officedocument.drawingml.chart+xml"/>
  <Override PartName="/xl/drawings/drawing21.xml" ContentType="application/vnd.openxmlformats-officedocument.drawingml.chartshapes+xml"/>
  <Override PartName="/xl/charts/chart18.xml" ContentType="application/vnd.openxmlformats-officedocument.drawingml.chart+xml"/>
  <Override PartName="/xl/drawings/drawing22.xml" ContentType="application/vnd.openxmlformats-officedocument.drawing+xml"/>
  <Override PartName="/xl/charts/chart19.xml" ContentType="application/vnd.openxmlformats-officedocument.drawingml.chart+xml"/>
  <Override PartName="/xl/drawings/drawing23.xml" ContentType="application/vnd.openxmlformats-officedocument.drawingml.chartshapes+xml"/>
  <Override PartName="/xl/charts/chart20.xml" ContentType="application/vnd.openxmlformats-officedocument.drawingml.chart+xml"/>
  <Override PartName="/xl/drawings/drawing24.xml" ContentType="application/vnd.openxmlformats-officedocument.drawing+xml"/>
  <Override PartName="/xl/charts/chart21.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5.xml" ContentType="application/vnd.openxmlformats-officedocument.drawingml.chartshapes+xml"/>
  <Override PartName="/xl/charts/chart22.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harts/chart23.xml" ContentType="application/vnd.openxmlformats-officedocument.drawingml.chart+xml"/>
  <Override PartName="/xl/charts/style15.xml" ContentType="application/vnd.ms-office.chartstyle+xml"/>
  <Override PartName="/xl/charts/colors15.xml" ContentType="application/vnd.ms-office.chartcolorstyle+xml"/>
  <Override PartName="/xl/charts/chart24.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mizchin\Desktop\"/>
    </mc:Choice>
  </mc:AlternateContent>
  <xr:revisionPtr revIDLastSave="0" documentId="8_{27957B34-CE07-4725-AB1A-5584A037BAC1}" xr6:coauthVersionLast="47" xr6:coauthVersionMax="47" xr10:uidLastSave="{00000000-0000-0000-0000-000000000000}"/>
  <bookViews>
    <workbookView xWindow="1536" yWindow="1536" windowWidth="17280" windowHeight="8964" tabRatio="916" xr2:uid="{5145BE13-61DD-48E7-B4BA-ED6E285B6972}"/>
  </bookViews>
  <sheets>
    <sheet name="Index" sheetId="1" r:id="rId1"/>
    <sheet name="Data Sources" sheetId="2" r:id="rId2"/>
    <sheet name="How To Use" sheetId="3" r:id="rId3"/>
    <sheet name="Mining Economic Impact" sheetId="4" r:id="rId4"/>
    <sheet name="Exports 2-years" sheetId="5" r:id="rId5"/>
    <sheet name="Exports Historic" sheetId="6" r:id="rId6"/>
    <sheet name="Mining Investment" sheetId="7" r:id="rId7"/>
    <sheet name="Min. Expl. By Commodity (Data)" sheetId="22" state="hidden" r:id="rId8"/>
    <sheet name="Min. Expl. By Commodity" sheetId="8" r:id="rId9"/>
    <sheet name="Min. Expl. By Type" sheetId="9" r:id="rId10"/>
    <sheet name="Min. Expl. Metres Drilled" sheetId="10" r:id="rId11"/>
    <sheet name="Pet. Exploration Expenditure" sheetId="11" r:id="rId12"/>
    <sheet name="Pet. Expl. By Location" sheetId="12" r:id="rId13"/>
    <sheet name="Royalties 2-years" sheetId="13" r:id="rId14"/>
    <sheet name="Royalties Historic" sheetId="14" r:id="rId15"/>
    <sheet name="Mining Employment CY" sheetId="15" r:id="rId16"/>
    <sheet name="Mining Employment FY" sheetId="16" r:id="rId17"/>
    <sheet name="Mining Employment Report Period" sheetId="17" r:id="rId18"/>
    <sheet name="Mining Employment By Project" sheetId="18" r:id="rId19"/>
    <sheet name="Mining Employment CY Pre-2001" sheetId="19" r:id="rId20"/>
    <sheet name="Petroleum Employment" sheetId="20" r:id="rId21"/>
    <sheet name="Pet. Emp. Jan 2010 to Mar 2022" sheetId="21" r:id="rId22"/>
  </sheets>
  <definedNames>
    <definedName name="_xlnm._FilterDatabase" localSheetId="18" hidden="1">'Mining Employment By Project'!#REF!</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5" l="1"/>
  <c r="B38" i="14" l="1"/>
  <c r="C38" i="14"/>
  <c r="D38" i="14"/>
  <c r="E38" i="14"/>
  <c r="F38" i="14"/>
  <c r="F39" i="14" s="1"/>
  <c r="G38" i="14"/>
  <c r="H38" i="14"/>
  <c r="I38" i="14"/>
  <c r="I39" i="14" s="1"/>
  <c r="J38" i="14"/>
  <c r="K38" i="14"/>
  <c r="L38" i="14"/>
  <c r="M38" i="14"/>
  <c r="N38" i="14"/>
  <c r="N39" i="14" s="1"/>
  <c r="O38" i="14"/>
  <c r="P38" i="14"/>
  <c r="Q38" i="14"/>
  <c r="Q39" i="14" s="1"/>
  <c r="R38" i="14"/>
  <c r="S38" i="14"/>
  <c r="T38" i="14"/>
  <c r="U38" i="14"/>
  <c r="V38" i="14"/>
  <c r="V39" i="14" s="1"/>
  <c r="W38" i="14"/>
  <c r="X38" i="14"/>
  <c r="Y38" i="14"/>
  <c r="Y39" i="14" s="1"/>
  <c r="Z38" i="14"/>
  <c r="AA38" i="14"/>
  <c r="AB38" i="14"/>
  <c r="AC38" i="14"/>
  <c r="AD38" i="14"/>
  <c r="AD39" i="14" s="1"/>
  <c r="AE38" i="14"/>
  <c r="AF38" i="14"/>
  <c r="AG38" i="14"/>
  <c r="AG39" i="14" s="1"/>
  <c r="AH38" i="14"/>
  <c r="AI38" i="14"/>
  <c r="AJ38" i="14"/>
  <c r="AK38" i="14"/>
  <c r="AL38" i="14"/>
  <c r="AL39" i="14" s="1"/>
  <c r="AM38" i="14"/>
  <c r="AN38" i="14"/>
  <c r="B39" i="14"/>
  <c r="C39" i="14"/>
  <c r="D39" i="14"/>
  <c r="E39" i="14"/>
  <c r="G39" i="14"/>
  <c r="H39" i="14"/>
  <c r="J39" i="14"/>
  <c r="K39" i="14"/>
  <c r="L39" i="14"/>
  <c r="M39" i="14"/>
  <c r="O39" i="14"/>
  <c r="P39" i="14"/>
  <c r="R39" i="14"/>
  <c r="S39" i="14"/>
  <c r="T39" i="14"/>
  <c r="U39" i="14"/>
  <c r="W39" i="14"/>
  <c r="X39" i="14"/>
  <c r="Z39" i="14"/>
  <c r="AA39" i="14"/>
  <c r="AB39" i="14"/>
  <c r="AC39" i="14"/>
  <c r="AE39" i="14"/>
  <c r="AF39" i="14"/>
  <c r="AH39" i="14"/>
  <c r="AI39" i="14"/>
  <c r="AJ39" i="14"/>
  <c r="AK39" i="14"/>
  <c r="AM39" i="14"/>
  <c r="AN39" i="14"/>
  <c r="AO38" i="14"/>
  <c r="AO39" i="14" s="1"/>
  <c r="AP39" i="14"/>
  <c r="AP38" i="14"/>
  <c r="AQ22" i="14"/>
  <c r="AQ21" i="14"/>
  <c r="B21" i="14"/>
  <c r="C21" i="14"/>
  <c r="D21" i="14"/>
  <c r="E21" i="14"/>
  <c r="F21" i="14"/>
  <c r="G21" i="14"/>
  <c r="H21" i="14"/>
  <c r="I21" i="14"/>
  <c r="I22" i="14" s="1"/>
  <c r="J21" i="14"/>
  <c r="K21" i="14"/>
  <c r="L21" i="14"/>
  <c r="M21" i="14"/>
  <c r="N21" i="14"/>
  <c r="O21" i="14"/>
  <c r="P21" i="14"/>
  <c r="Q21" i="14"/>
  <c r="Q22" i="14" s="1"/>
  <c r="R21" i="14"/>
  <c r="S21" i="14"/>
  <c r="T21" i="14"/>
  <c r="U21" i="14"/>
  <c r="V21" i="14"/>
  <c r="W21" i="14"/>
  <c r="X21" i="14"/>
  <c r="Y21" i="14"/>
  <c r="Y22" i="14" s="1"/>
  <c r="Z21" i="14"/>
  <c r="AA21" i="14"/>
  <c r="AB21" i="14"/>
  <c r="AC21" i="14"/>
  <c r="AD21" i="14"/>
  <c r="AE21" i="14"/>
  <c r="AF21" i="14"/>
  <c r="AG21" i="14"/>
  <c r="AG22" i="14" s="1"/>
  <c r="AP21" i="14"/>
  <c r="C22" i="14"/>
  <c r="D22" i="14"/>
  <c r="E22" i="14"/>
  <c r="F22" i="14"/>
  <c r="G22" i="14"/>
  <c r="H22" i="14"/>
  <c r="J22" i="14"/>
  <c r="K22" i="14"/>
  <c r="L22" i="14"/>
  <c r="M22" i="14"/>
  <c r="N22" i="14"/>
  <c r="O22" i="14"/>
  <c r="P22" i="14"/>
  <c r="R22" i="14"/>
  <c r="S22" i="14"/>
  <c r="T22" i="14"/>
  <c r="U22" i="14"/>
  <c r="V22" i="14"/>
  <c r="W22" i="14"/>
  <c r="X22" i="14"/>
  <c r="Z22" i="14"/>
  <c r="AA22" i="14"/>
  <c r="AB22" i="14"/>
  <c r="AC22" i="14"/>
  <c r="AD22" i="14"/>
  <c r="AE22" i="14"/>
  <c r="AF22" i="14"/>
  <c r="AH22" i="14"/>
  <c r="AI22" i="14"/>
  <c r="AJ22" i="14"/>
  <c r="AK22" i="14"/>
  <c r="AL22" i="14"/>
  <c r="AM22" i="14"/>
  <c r="AN22" i="14"/>
  <c r="AO22" i="14"/>
  <c r="AP22" i="14"/>
  <c r="B22" i="14"/>
  <c r="AP32" i="14"/>
  <c r="AP27" i="14"/>
  <c r="AQ20" i="14"/>
  <c r="AQ19" i="14"/>
  <c r="AQ18" i="14"/>
  <c r="AQ17" i="14"/>
  <c r="AQ16" i="14"/>
  <c r="AQ15" i="14"/>
  <c r="AQ14" i="14"/>
  <c r="AQ13" i="14"/>
  <c r="AQ12" i="14"/>
  <c r="AQ11" i="14"/>
  <c r="AQ10" i="14"/>
  <c r="I19" i="6" l="1"/>
  <c r="I21" i="6" s="1"/>
  <c r="C7" i="5"/>
  <c r="C20" i="5" s="1" a="1"/>
  <c r="C20" i="5" s="1"/>
  <c r="G39" i="6"/>
  <c r="F39" i="6"/>
  <c r="E39" i="6"/>
  <c r="D39" i="6"/>
  <c r="C39" i="6"/>
  <c r="B39" i="6"/>
  <c r="G21" i="6"/>
  <c r="F21" i="6"/>
  <c r="E21" i="6"/>
  <c r="D21" i="6"/>
  <c r="C21" i="6"/>
  <c r="B21" i="6"/>
  <c r="F1" i="6"/>
  <c r="G1" i="6"/>
  <c r="D1" i="6"/>
  <c r="E1" i="6"/>
  <c r="J1" i="6"/>
  <c r="I1" i="6"/>
  <c r="H1" i="6"/>
  <c r="I23" i="6" l="1"/>
  <c r="H148" i="7" l="1"/>
  <c r="H147" i="7"/>
  <c r="F148" i="7"/>
  <c r="F147" i="7"/>
  <c r="K192" i="12" l="1"/>
  <c r="L192" i="12" s="1"/>
  <c r="K191" i="12"/>
  <c r="L191" i="12" s="1"/>
  <c r="F127" i="11" l="1"/>
  <c r="F126" i="11"/>
  <c r="D127" i="11"/>
  <c r="D126" i="11"/>
  <c r="K91" i="9"/>
  <c r="J91" i="9"/>
  <c r="I91" i="9"/>
  <c r="K90" i="9"/>
  <c r="J90" i="9"/>
  <c r="I90" i="9"/>
  <c r="G91" i="9"/>
  <c r="G90" i="9"/>
  <c r="D91" i="9"/>
  <c r="D90" i="9"/>
  <c r="E109" i="8"/>
  <c r="D109" i="8"/>
  <c r="C109" i="8"/>
  <c r="E108" i="8"/>
  <c r="D108" i="8"/>
  <c r="C108" i="8"/>
  <c r="AI109" i="22"/>
  <c r="AI108" i="22"/>
  <c r="AF109" i="22"/>
  <c r="AF108" i="22"/>
  <c r="AC109" i="22"/>
  <c r="AC108" i="22"/>
  <c r="Z109" i="22"/>
  <c r="Z108" i="22"/>
  <c r="W109" i="22"/>
  <c r="W108" i="22"/>
  <c r="T109" i="22"/>
  <c r="T108" i="22"/>
  <c r="Q109" i="22"/>
  <c r="Q108" i="22"/>
  <c r="N109" i="22"/>
  <c r="N108" i="22"/>
  <c r="K109" i="22"/>
  <c r="K108" i="22"/>
  <c r="H109" i="22"/>
  <c r="H108" i="22"/>
  <c r="E109" i="22"/>
  <c r="E108" i="22"/>
  <c r="F108" i="8" l="1"/>
  <c r="F109" i="8"/>
  <c r="M17" i="20" l="1"/>
  <c r="M16" i="20" s="1"/>
  <c r="M15" i="20" s="1"/>
  <c r="M14" i="20" s="1"/>
  <c r="M13" i="20" s="1"/>
  <c r="M12" i="20" s="1"/>
  <c r="M11" i="20" s="1"/>
  <c r="M10" i="20" s="1"/>
  <c r="M9" i="20" s="1"/>
  <c r="M8" i="20" s="1"/>
  <c r="W17" i="12" l="1"/>
  <c r="W16" i="12" s="1"/>
  <c r="W15" i="12" s="1"/>
  <c r="W14" i="12" s="1"/>
  <c r="W13" i="12" s="1"/>
  <c r="W12" i="12" s="1"/>
  <c r="W11" i="12" s="1"/>
  <c r="W10" i="12" s="1"/>
  <c r="W9" i="12" s="1"/>
  <c r="W8" i="12" s="1"/>
  <c r="N17" i="11"/>
  <c r="N16" i="11" s="1"/>
  <c r="N15" i="11" s="1"/>
  <c r="N14" i="11" s="1"/>
  <c r="N13" i="11" s="1"/>
  <c r="N12" i="11" s="1"/>
  <c r="N11" i="11" s="1"/>
  <c r="N10" i="11" s="1"/>
  <c r="N9" i="11" s="1"/>
  <c r="N8" i="11" s="1"/>
  <c r="C10" i="8"/>
  <c r="E107" i="8" l="1"/>
  <c r="C107" i="8"/>
  <c r="E106" i="8"/>
  <c r="C106" i="8"/>
  <c r="E105" i="8"/>
  <c r="C105" i="8"/>
  <c r="E104" i="8"/>
  <c r="C104" i="8"/>
  <c r="E103" i="8"/>
  <c r="C103" i="8"/>
  <c r="E102" i="8"/>
  <c r="C102" i="8"/>
  <c r="E101" i="8"/>
  <c r="C101" i="8"/>
  <c r="E100" i="8"/>
  <c r="C100" i="8"/>
  <c r="E99" i="8"/>
  <c r="C99" i="8"/>
  <c r="E98" i="8"/>
  <c r="C98" i="8"/>
  <c r="E97" i="8"/>
  <c r="C97" i="8"/>
  <c r="E96" i="8"/>
  <c r="C96" i="8"/>
  <c r="E95" i="8"/>
  <c r="C95" i="8"/>
  <c r="E94" i="8"/>
  <c r="C94" i="8"/>
  <c r="E93" i="8"/>
  <c r="C93" i="8"/>
  <c r="E92" i="8"/>
  <c r="C92" i="8"/>
  <c r="E91" i="8"/>
  <c r="C91" i="8"/>
  <c r="E90" i="8"/>
  <c r="C90" i="8"/>
  <c r="E89" i="8"/>
  <c r="C89" i="8"/>
  <c r="E88" i="8"/>
  <c r="C88" i="8"/>
  <c r="E87" i="8"/>
  <c r="C87" i="8"/>
  <c r="E86" i="8"/>
  <c r="C86" i="8"/>
  <c r="E85" i="8"/>
  <c r="C85" i="8"/>
  <c r="E84" i="8"/>
  <c r="C84" i="8"/>
  <c r="E83" i="8"/>
  <c r="C83" i="8"/>
  <c r="E82" i="8"/>
  <c r="C82" i="8"/>
  <c r="E81" i="8"/>
  <c r="C81" i="8"/>
  <c r="E80" i="8"/>
  <c r="C80" i="8"/>
  <c r="E79" i="8"/>
  <c r="C79" i="8"/>
  <c r="E78" i="8"/>
  <c r="C78" i="8"/>
  <c r="E77" i="8"/>
  <c r="C77" i="8"/>
  <c r="E76" i="8"/>
  <c r="C76" i="8"/>
  <c r="E75" i="8"/>
  <c r="C75" i="8"/>
  <c r="E74" i="8"/>
  <c r="C74" i="8"/>
  <c r="E73" i="8"/>
  <c r="C73" i="8"/>
  <c r="E72" i="8"/>
  <c r="C72" i="8"/>
  <c r="E71" i="8"/>
  <c r="C71" i="8"/>
  <c r="E70" i="8"/>
  <c r="C70" i="8"/>
  <c r="E69" i="8"/>
  <c r="C69" i="8"/>
  <c r="E68" i="8"/>
  <c r="C68" i="8"/>
  <c r="E67" i="8"/>
  <c r="C67" i="8"/>
  <c r="E66" i="8"/>
  <c r="C66" i="8"/>
  <c r="E65" i="8"/>
  <c r="C65" i="8"/>
  <c r="E64" i="8"/>
  <c r="C64" i="8"/>
  <c r="E63" i="8"/>
  <c r="C63" i="8"/>
  <c r="E62" i="8"/>
  <c r="C62" i="8"/>
  <c r="E61" i="8"/>
  <c r="C61" i="8"/>
  <c r="E60" i="8"/>
  <c r="C60" i="8"/>
  <c r="E59" i="8"/>
  <c r="C59" i="8"/>
  <c r="E58" i="8"/>
  <c r="C58" i="8"/>
  <c r="E57" i="8"/>
  <c r="C57" i="8"/>
  <c r="E56" i="8"/>
  <c r="C56" i="8"/>
  <c r="E55" i="8"/>
  <c r="C55" i="8"/>
  <c r="E54" i="8"/>
  <c r="C54" i="8"/>
  <c r="E53" i="8"/>
  <c r="C53" i="8"/>
  <c r="E52" i="8"/>
  <c r="C52" i="8"/>
  <c r="E51" i="8"/>
  <c r="C51" i="8"/>
  <c r="E50" i="8"/>
  <c r="C50" i="8"/>
  <c r="E49" i="8"/>
  <c r="C49" i="8"/>
  <c r="E48" i="8"/>
  <c r="C48" i="8"/>
  <c r="E47" i="8"/>
  <c r="C47" i="8"/>
  <c r="E46" i="8"/>
  <c r="C46" i="8"/>
  <c r="E45" i="8"/>
  <c r="C45" i="8"/>
  <c r="E44" i="8"/>
  <c r="C44" i="8"/>
  <c r="E43" i="8"/>
  <c r="C43" i="8"/>
  <c r="E42" i="8"/>
  <c r="C42" i="8"/>
  <c r="E41" i="8"/>
  <c r="C41" i="8"/>
  <c r="E40" i="8"/>
  <c r="C40" i="8"/>
  <c r="E39" i="8"/>
  <c r="C39" i="8"/>
  <c r="E38" i="8"/>
  <c r="C38" i="8"/>
  <c r="E37" i="8"/>
  <c r="C37" i="8"/>
  <c r="E36" i="8"/>
  <c r="C36" i="8"/>
  <c r="E35" i="8"/>
  <c r="C35" i="8"/>
  <c r="E34" i="8"/>
  <c r="C34" i="8"/>
  <c r="E33" i="8"/>
  <c r="C33" i="8"/>
  <c r="E32" i="8"/>
  <c r="C32" i="8"/>
  <c r="E31" i="8"/>
  <c r="C31" i="8"/>
  <c r="E30" i="8"/>
  <c r="C30" i="8"/>
  <c r="E29" i="8"/>
  <c r="C29" i="8"/>
  <c r="E28" i="8"/>
  <c r="C28" i="8"/>
  <c r="E27" i="8"/>
  <c r="C27" i="8"/>
  <c r="E26" i="8"/>
  <c r="C26" i="8"/>
  <c r="E25" i="8"/>
  <c r="C25" i="8"/>
  <c r="E24" i="8"/>
  <c r="C24" i="8"/>
  <c r="E23" i="8"/>
  <c r="C23" i="8"/>
  <c r="E22" i="8"/>
  <c r="C22" i="8"/>
  <c r="E21" i="8"/>
  <c r="C21" i="8"/>
  <c r="E20" i="8"/>
  <c r="C20" i="8"/>
  <c r="E19" i="8"/>
  <c r="C19" i="8"/>
  <c r="E18" i="8"/>
  <c r="C18" i="8"/>
  <c r="E17" i="8"/>
  <c r="C17" i="8"/>
  <c r="E16" i="8"/>
  <c r="C16" i="8"/>
  <c r="E15" i="8"/>
  <c r="C15" i="8"/>
  <c r="E14" i="8"/>
  <c r="C14" i="8"/>
  <c r="E13" i="8"/>
  <c r="C13" i="8"/>
  <c r="E12" i="8"/>
  <c r="C12" i="8"/>
  <c r="E11" i="8"/>
  <c r="C11" i="8"/>
  <c r="E10" i="8"/>
  <c r="AI107" i="22"/>
  <c r="D107" i="8" s="1"/>
  <c r="AF107" i="22"/>
  <c r="AC107" i="22"/>
  <c r="Z107" i="22"/>
  <c r="W107" i="22"/>
  <c r="T107" i="22"/>
  <c r="Q107" i="22"/>
  <c r="N107" i="22"/>
  <c r="K107" i="22"/>
  <c r="H107" i="22"/>
  <c r="E107" i="22"/>
  <c r="AI106" i="22"/>
  <c r="D106" i="8" s="1"/>
  <c r="AF106" i="22"/>
  <c r="AC106" i="22"/>
  <c r="Z106" i="22"/>
  <c r="W106" i="22"/>
  <c r="T106" i="22"/>
  <c r="Q106" i="22"/>
  <c r="N106" i="22"/>
  <c r="K106" i="22"/>
  <c r="H106" i="22"/>
  <c r="E106" i="22"/>
  <c r="AI105" i="22"/>
  <c r="D105" i="8" s="1"/>
  <c r="AF105" i="22"/>
  <c r="AC105" i="22"/>
  <c r="Z105" i="22"/>
  <c r="W105" i="22"/>
  <c r="T105" i="22"/>
  <c r="Q105" i="22"/>
  <c r="N105" i="22"/>
  <c r="K105" i="22"/>
  <c r="H105" i="22"/>
  <c r="E105" i="22"/>
  <c r="AI104" i="22"/>
  <c r="D104" i="8" s="1"/>
  <c r="AF104" i="22"/>
  <c r="AC104" i="22"/>
  <c r="Z104" i="22"/>
  <c r="W104" i="22"/>
  <c r="T104" i="22"/>
  <c r="Q104" i="22"/>
  <c r="N104" i="22"/>
  <c r="K104" i="22"/>
  <c r="H104" i="22"/>
  <c r="E104" i="22"/>
  <c r="AI103" i="22"/>
  <c r="D103" i="8" s="1"/>
  <c r="AF103" i="22"/>
  <c r="AC103" i="22"/>
  <c r="Z103" i="22"/>
  <c r="W103" i="22"/>
  <c r="T103" i="22"/>
  <c r="Q103" i="22"/>
  <c r="N103" i="22"/>
  <c r="K103" i="22"/>
  <c r="H103" i="22"/>
  <c r="E103" i="22"/>
  <c r="AI102" i="22"/>
  <c r="D102" i="8" s="1"/>
  <c r="AF102" i="22"/>
  <c r="AC102" i="22"/>
  <c r="Z102" i="22"/>
  <c r="W102" i="22"/>
  <c r="T102" i="22"/>
  <c r="Q102" i="22"/>
  <c r="N102" i="22"/>
  <c r="K102" i="22"/>
  <c r="H102" i="22"/>
  <c r="E102" i="22"/>
  <c r="AI101" i="22"/>
  <c r="D101" i="8" s="1"/>
  <c r="AF101" i="22"/>
  <c r="AC101" i="22"/>
  <c r="Z101" i="22"/>
  <c r="W101" i="22"/>
  <c r="T101" i="22"/>
  <c r="Q101" i="22"/>
  <c r="N101" i="22"/>
  <c r="K101" i="22"/>
  <c r="H101" i="22"/>
  <c r="E101" i="22"/>
  <c r="AI100" i="22"/>
  <c r="D100" i="8" s="1"/>
  <c r="AF100" i="22"/>
  <c r="AC100" i="22"/>
  <c r="Z100" i="22"/>
  <c r="W100" i="22"/>
  <c r="T100" i="22"/>
  <c r="Q100" i="22"/>
  <c r="N100" i="22"/>
  <c r="K100" i="22"/>
  <c r="H100" i="22"/>
  <c r="E100" i="22"/>
  <c r="AI99" i="22"/>
  <c r="D99" i="8" s="1"/>
  <c r="AF99" i="22"/>
  <c r="AC99" i="22"/>
  <c r="Z99" i="22"/>
  <c r="W99" i="22"/>
  <c r="T99" i="22"/>
  <c r="Q99" i="22"/>
  <c r="N99" i="22"/>
  <c r="K99" i="22"/>
  <c r="H99" i="22"/>
  <c r="E99" i="22"/>
  <c r="AI98" i="22"/>
  <c r="D98" i="8" s="1"/>
  <c r="AF98" i="22"/>
  <c r="AC98" i="22"/>
  <c r="Z98" i="22"/>
  <c r="W98" i="22"/>
  <c r="T98" i="22"/>
  <c r="Q98" i="22"/>
  <c r="N98" i="22"/>
  <c r="K98" i="22"/>
  <c r="H98" i="22"/>
  <c r="E98" i="22"/>
  <c r="AI97" i="22"/>
  <c r="D97" i="8" s="1"/>
  <c r="AF97" i="22"/>
  <c r="AC97" i="22"/>
  <c r="Z97" i="22"/>
  <c r="W97" i="22"/>
  <c r="T97" i="22"/>
  <c r="Q97" i="22"/>
  <c r="N97" i="22"/>
  <c r="K97" i="22"/>
  <c r="H97" i="22"/>
  <c r="E97" i="22"/>
  <c r="AI96" i="22"/>
  <c r="D96" i="8" s="1"/>
  <c r="AF96" i="22"/>
  <c r="AC96" i="22"/>
  <c r="Z96" i="22"/>
  <c r="W96" i="22"/>
  <c r="T96" i="22"/>
  <c r="Q96" i="22"/>
  <c r="N96" i="22"/>
  <c r="K96" i="22"/>
  <c r="H96" i="22"/>
  <c r="E96" i="22"/>
  <c r="AI95" i="22"/>
  <c r="D95" i="8" s="1"/>
  <c r="AF95" i="22"/>
  <c r="AC95" i="22"/>
  <c r="Z95" i="22"/>
  <c r="W95" i="22"/>
  <c r="T95" i="22"/>
  <c r="Q95" i="22"/>
  <c r="N95" i="22"/>
  <c r="K95" i="22"/>
  <c r="H95" i="22"/>
  <c r="E95" i="22"/>
  <c r="AI94" i="22"/>
  <c r="D94" i="8" s="1"/>
  <c r="AF94" i="22"/>
  <c r="AC94" i="22"/>
  <c r="Z94" i="22"/>
  <c r="W94" i="22"/>
  <c r="T94" i="22"/>
  <c r="Q94" i="22"/>
  <c r="N94" i="22"/>
  <c r="K94" i="22"/>
  <c r="H94" i="22"/>
  <c r="E94" i="22"/>
  <c r="AI93" i="22"/>
  <c r="D93" i="8" s="1"/>
  <c r="AF93" i="22"/>
  <c r="AC93" i="22"/>
  <c r="Z93" i="22"/>
  <c r="W93" i="22"/>
  <c r="T93" i="22"/>
  <c r="Q93" i="22"/>
  <c r="N93" i="22"/>
  <c r="K93" i="22"/>
  <c r="H93" i="22"/>
  <c r="E93" i="22"/>
  <c r="AI92" i="22"/>
  <c r="D92" i="8" s="1"/>
  <c r="AF92" i="22"/>
  <c r="AC92" i="22"/>
  <c r="Z92" i="22"/>
  <c r="W92" i="22"/>
  <c r="T92" i="22"/>
  <c r="Q92" i="22"/>
  <c r="N92" i="22"/>
  <c r="K92" i="22"/>
  <c r="H92" i="22"/>
  <c r="E92" i="22"/>
  <c r="AI91" i="22"/>
  <c r="D91" i="8" s="1"/>
  <c r="AF91" i="22"/>
  <c r="AC91" i="22"/>
  <c r="Z91" i="22"/>
  <c r="W91" i="22"/>
  <c r="T91" i="22"/>
  <c r="Q91" i="22"/>
  <c r="N91" i="22"/>
  <c r="K91" i="22"/>
  <c r="H91" i="22"/>
  <c r="E91" i="22"/>
  <c r="AI90" i="22"/>
  <c r="D90" i="8" s="1"/>
  <c r="AF90" i="22"/>
  <c r="AC90" i="22"/>
  <c r="Z90" i="22"/>
  <c r="W90" i="22"/>
  <c r="T90" i="22"/>
  <c r="Q90" i="22"/>
  <c r="N90" i="22"/>
  <c r="K90" i="22"/>
  <c r="H90" i="22"/>
  <c r="E90" i="22"/>
  <c r="AI89" i="22"/>
  <c r="D89" i="8" s="1"/>
  <c r="AF89" i="22"/>
  <c r="AC89" i="22"/>
  <c r="Z89" i="22"/>
  <c r="W89" i="22"/>
  <c r="T89" i="22"/>
  <c r="Q89" i="22"/>
  <c r="N89" i="22"/>
  <c r="K89" i="22"/>
  <c r="H89" i="22"/>
  <c r="E89" i="22"/>
  <c r="AI88" i="22"/>
  <c r="D88" i="8" s="1"/>
  <c r="AF88" i="22"/>
  <c r="AC88" i="22"/>
  <c r="Z88" i="22"/>
  <c r="W88" i="22"/>
  <c r="T88" i="22"/>
  <c r="Q88" i="22"/>
  <c r="N88" i="22"/>
  <c r="K88" i="22"/>
  <c r="H88" i="22"/>
  <c r="E88" i="22"/>
  <c r="AI87" i="22"/>
  <c r="D87" i="8" s="1"/>
  <c r="AF87" i="22"/>
  <c r="AC87" i="22"/>
  <c r="Z87" i="22"/>
  <c r="W87" i="22"/>
  <c r="T87" i="22"/>
  <c r="Q87" i="22"/>
  <c r="N87" i="22"/>
  <c r="K87" i="22"/>
  <c r="H87" i="22"/>
  <c r="E87" i="22"/>
  <c r="AI86" i="22"/>
  <c r="D86" i="8" s="1"/>
  <c r="AF86" i="22"/>
  <c r="AC86" i="22"/>
  <c r="Z86" i="22"/>
  <c r="W86" i="22"/>
  <c r="T86" i="22"/>
  <c r="Q86" i="22"/>
  <c r="N86" i="22"/>
  <c r="K86" i="22"/>
  <c r="H86" i="22"/>
  <c r="E86" i="22"/>
  <c r="AI85" i="22"/>
  <c r="D85" i="8" s="1"/>
  <c r="AF85" i="22"/>
  <c r="AC85" i="22"/>
  <c r="Z85" i="22"/>
  <c r="W85" i="22"/>
  <c r="T85" i="22"/>
  <c r="Q85" i="22"/>
  <c r="N85" i="22"/>
  <c r="K85" i="22"/>
  <c r="H85" i="22"/>
  <c r="E85" i="22"/>
  <c r="AI84" i="22"/>
  <c r="D84" i="8" s="1"/>
  <c r="AF84" i="22"/>
  <c r="AC84" i="22"/>
  <c r="Z84" i="22"/>
  <c r="W84" i="22"/>
  <c r="T84" i="22"/>
  <c r="Q84" i="22"/>
  <c r="N84" i="22"/>
  <c r="K84" i="22"/>
  <c r="H84" i="22"/>
  <c r="E84" i="22"/>
  <c r="AI83" i="22"/>
  <c r="D83" i="8" s="1"/>
  <c r="AF83" i="22"/>
  <c r="AC83" i="22"/>
  <c r="Z83" i="22"/>
  <c r="W83" i="22"/>
  <c r="T83" i="22"/>
  <c r="Q83" i="22"/>
  <c r="N83" i="22"/>
  <c r="K83" i="22"/>
  <c r="H83" i="22"/>
  <c r="E83" i="22"/>
  <c r="AI82" i="22"/>
  <c r="D82" i="8" s="1"/>
  <c r="AF82" i="22"/>
  <c r="AC82" i="22"/>
  <c r="Z82" i="22"/>
  <c r="W82" i="22"/>
  <c r="T82" i="22"/>
  <c r="Q82" i="22"/>
  <c r="N82" i="22"/>
  <c r="K82" i="22"/>
  <c r="H82" i="22"/>
  <c r="E82" i="22"/>
  <c r="AI81" i="22"/>
  <c r="D81" i="8" s="1"/>
  <c r="AF81" i="22"/>
  <c r="AC81" i="22"/>
  <c r="Z81" i="22"/>
  <c r="W81" i="22"/>
  <c r="T81" i="22"/>
  <c r="Q81" i="22"/>
  <c r="N81" i="22"/>
  <c r="K81" i="22"/>
  <c r="H81" i="22"/>
  <c r="E81" i="22"/>
  <c r="AI80" i="22"/>
  <c r="D80" i="8" s="1"/>
  <c r="AF80" i="22"/>
  <c r="AC80" i="22"/>
  <c r="Z80" i="22"/>
  <c r="W80" i="22"/>
  <c r="T80" i="22"/>
  <c r="Q80" i="22"/>
  <c r="N80" i="22"/>
  <c r="K80" i="22"/>
  <c r="H80" i="22"/>
  <c r="E80" i="22"/>
  <c r="AI79" i="22"/>
  <c r="D79" i="8" s="1"/>
  <c r="AF79" i="22"/>
  <c r="AC79" i="22"/>
  <c r="Z79" i="22"/>
  <c r="W79" i="22"/>
  <c r="T79" i="22"/>
  <c r="Q79" i="22"/>
  <c r="N79" i="22"/>
  <c r="K79" i="22"/>
  <c r="H79" i="22"/>
  <c r="E79" i="22"/>
  <c r="AI78" i="22"/>
  <c r="D78" i="8" s="1"/>
  <c r="AF78" i="22"/>
  <c r="AC78" i="22"/>
  <c r="Z78" i="22"/>
  <c r="W78" i="22"/>
  <c r="T78" i="22"/>
  <c r="Q78" i="22"/>
  <c r="N78" i="22"/>
  <c r="K78" i="22"/>
  <c r="H78" i="22"/>
  <c r="E78" i="22"/>
  <c r="AI77" i="22"/>
  <c r="D77" i="8" s="1"/>
  <c r="AF77" i="22"/>
  <c r="AC77" i="22"/>
  <c r="Z77" i="22"/>
  <c r="W77" i="22"/>
  <c r="T77" i="22"/>
  <c r="Q77" i="22"/>
  <c r="N77" i="22"/>
  <c r="K77" i="22"/>
  <c r="H77" i="22"/>
  <c r="E77" i="22"/>
  <c r="AI76" i="22"/>
  <c r="D76" i="8" s="1"/>
  <c r="AF76" i="22"/>
  <c r="AC76" i="22"/>
  <c r="Z76" i="22"/>
  <c r="W76" i="22"/>
  <c r="T76" i="22"/>
  <c r="Q76" i="22"/>
  <c r="N76" i="22"/>
  <c r="K76" i="22"/>
  <c r="H76" i="22"/>
  <c r="E76" i="22"/>
  <c r="AI75" i="22"/>
  <c r="D75" i="8" s="1"/>
  <c r="AF75" i="22"/>
  <c r="AC75" i="22"/>
  <c r="Z75" i="22"/>
  <c r="W75" i="22"/>
  <c r="T75" i="22"/>
  <c r="Q75" i="22"/>
  <c r="N75" i="22"/>
  <c r="K75" i="22"/>
  <c r="H75" i="22"/>
  <c r="E75" i="22"/>
  <c r="AI74" i="22"/>
  <c r="D74" i="8" s="1"/>
  <c r="AF74" i="22"/>
  <c r="AC74" i="22"/>
  <c r="Z74" i="22"/>
  <c r="W74" i="22"/>
  <c r="T74" i="22"/>
  <c r="Q74" i="22"/>
  <c r="N74" i="22"/>
  <c r="K74" i="22"/>
  <c r="H74" i="22"/>
  <c r="E74" i="22"/>
  <c r="AI73" i="22"/>
  <c r="D73" i="8" s="1"/>
  <c r="AF73" i="22"/>
  <c r="AC73" i="22"/>
  <c r="Z73" i="22"/>
  <c r="W73" i="22"/>
  <c r="T73" i="22"/>
  <c r="Q73" i="22"/>
  <c r="N73" i="22"/>
  <c r="K73" i="22"/>
  <c r="H73" i="22"/>
  <c r="E73" i="22"/>
  <c r="AI72" i="22"/>
  <c r="D72" i="8" s="1"/>
  <c r="AF72" i="22"/>
  <c r="AC72" i="22"/>
  <c r="Z72" i="22"/>
  <c r="W72" i="22"/>
  <c r="T72" i="22"/>
  <c r="Q72" i="22"/>
  <c r="N72" i="22"/>
  <c r="K72" i="22"/>
  <c r="H72" i="22"/>
  <c r="E72" i="22"/>
  <c r="AI71" i="22"/>
  <c r="D71" i="8" s="1"/>
  <c r="AF71" i="22"/>
  <c r="AC71" i="22"/>
  <c r="Z71" i="22"/>
  <c r="W71" i="22"/>
  <c r="T71" i="22"/>
  <c r="Q71" i="22"/>
  <c r="N71" i="22"/>
  <c r="K71" i="22"/>
  <c r="H71" i="22"/>
  <c r="E71" i="22"/>
  <c r="AI70" i="22"/>
  <c r="D70" i="8" s="1"/>
  <c r="AF70" i="22"/>
  <c r="AC70" i="22"/>
  <c r="Z70" i="22"/>
  <c r="W70" i="22"/>
  <c r="T70" i="22"/>
  <c r="Q70" i="22"/>
  <c r="N70" i="22"/>
  <c r="K70" i="22"/>
  <c r="H70" i="22"/>
  <c r="E70" i="22"/>
  <c r="AI69" i="22"/>
  <c r="D69" i="8" s="1"/>
  <c r="AF69" i="22"/>
  <c r="AC69" i="22"/>
  <c r="Z69" i="22"/>
  <c r="W69" i="22"/>
  <c r="T69" i="22"/>
  <c r="Q69" i="22"/>
  <c r="N69" i="22"/>
  <c r="K69" i="22"/>
  <c r="H69" i="22"/>
  <c r="E69" i="22"/>
  <c r="AI68" i="22"/>
  <c r="D68" i="8" s="1"/>
  <c r="AF68" i="22"/>
  <c r="AC68" i="22"/>
  <c r="Z68" i="22"/>
  <c r="W68" i="22"/>
  <c r="T68" i="22"/>
  <c r="Q68" i="22"/>
  <c r="N68" i="22"/>
  <c r="K68" i="22"/>
  <c r="H68" i="22"/>
  <c r="E68" i="22"/>
  <c r="AI67" i="22"/>
  <c r="D67" i="8" s="1"/>
  <c r="AF67" i="22"/>
  <c r="AC67" i="22"/>
  <c r="Z67" i="22"/>
  <c r="W67" i="22"/>
  <c r="T67" i="22"/>
  <c r="Q67" i="22"/>
  <c r="N67" i="22"/>
  <c r="K67" i="22"/>
  <c r="H67" i="22"/>
  <c r="E67" i="22"/>
  <c r="AI66" i="22"/>
  <c r="D66" i="8" s="1"/>
  <c r="AF66" i="22"/>
  <c r="AC66" i="22"/>
  <c r="Z66" i="22"/>
  <c r="W66" i="22"/>
  <c r="T66" i="22"/>
  <c r="Q66" i="22"/>
  <c r="N66" i="22"/>
  <c r="K66" i="22"/>
  <c r="H66" i="22"/>
  <c r="E66" i="22"/>
  <c r="AI65" i="22"/>
  <c r="D65" i="8" s="1"/>
  <c r="AF65" i="22"/>
  <c r="AC65" i="22"/>
  <c r="Z65" i="22"/>
  <c r="W65" i="22"/>
  <c r="T65" i="22"/>
  <c r="Q65" i="22"/>
  <c r="N65" i="22"/>
  <c r="K65" i="22"/>
  <c r="H65" i="22"/>
  <c r="E65" i="22"/>
  <c r="AI64" i="22"/>
  <c r="D64" i="8" s="1"/>
  <c r="AF64" i="22"/>
  <c r="AC64" i="22"/>
  <c r="Z64" i="22"/>
  <c r="W64" i="22"/>
  <c r="T64" i="22"/>
  <c r="Q64" i="22"/>
  <c r="N64" i="22"/>
  <c r="K64" i="22"/>
  <c r="H64" i="22"/>
  <c r="E64" i="22"/>
  <c r="AI63" i="22"/>
  <c r="D63" i="8" s="1"/>
  <c r="AF63" i="22"/>
  <c r="AC63" i="22"/>
  <c r="Z63" i="22"/>
  <c r="W63" i="22"/>
  <c r="T63" i="22"/>
  <c r="Q63" i="22"/>
  <c r="N63" i="22"/>
  <c r="K63" i="22"/>
  <c r="H63" i="22"/>
  <c r="E63" i="22"/>
  <c r="AI62" i="22"/>
  <c r="D62" i="8" s="1"/>
  <c r="AF62" i="22"/>
  <c r="AC62" i="22"/>
  <c r="Z62" i="22"/>
  <c r="W62" i="22"/>
  <c r="T62" i="22"/>
  <c r="Q62" i="22"/>
  <c r="N62" i="22"/>
  <c r="K62" i="22"/>
  <c r="H62" i="22"/>
  <c r="E62" i="22"/>
  <c r="AI61" i="22"/>
  <c r="D61" i="8" s="1"/>
  <c r="AF61" i="22"/>
  <c r="AC61" i="22"/>
  <c r="Z61" i="22"/>
  <c r="W61" i="22"/>
  <c r="T61" i="22"/>
  <c r="Q61" i="22"/>
  <c r="N61" i="22"/>
  <c r="K61" i="22"/>
  <c r="H61" i="22"/>
  <c r="E61" i="22"/>
  <c r="AI60" i="22"/>
  <c r="D60" i="8" s="1"/>
  <c r="AF60" i="22"/>
  <c r="AC60" i="22"/>
  <c r="Z60" i="22"/>
  <c r="W60" i="22"/>
  <c r="T60" i="22"/>
  <c r="Q60" i="22"/>
  <c r="N60" i="22"/>
  <c r="K60" i="22"/>
  <c r="H60" i="22"/>
  <c r="E60" i="22"/>
  <c r="AI59" i="22"/>
  <c r="D59" i="8" s="1"/>
  <c r="AF59" i="22"/>
  <c r="AC59" i="22"/>
  <c r="Z59" i="22"/>
  <c r="W59" i="22"/>
  <c r="T59" i="22"/>
  <c r="Q59" i="22"/>
  <c r="N59" i="22"/>
  <c r="K59" i="22"/>
  <c r="H59" i="22"/>
  <c r="E59" i="22"/>
  <c r="AI58" i="22"/>
  <c r="D58" i="8" s="1"/>
  <c r="AF58" i="22"/>
  <c r="AC58" i="22"/>
  <c r="Z58" i="22"/>
  <c r="W58" i="22"/>
  <c r="T58" i="22"/>
  <c r="Q58" i="22"/>
  <c r="N58" i="22"/>
  <c r="K58" i="22"/>
  <c r="H58" i="22"/>
  <c r="E58" i="22"/>
  <c r="AI57" i="22"/>
  <c r="D57" i="8" s="1"/>
  <c r="AF57" i="22"/>
  <c r="AC57" i="22"/>
  <c r="Z57" i="22"/>
  <c r="W57" i="22"/>
  <c r="T57" i="22"/>
  <c r="Q57" i="22"/>
  <c r="N57" i="22"/>
  <c r="K57" i="22"/>
  <c r="H57" i="22"/>
  <c r="E57" i="22"/>
  <c r="AI56" i="22"/>
  <c r="D56" i="8" s="1"/>
  <c r="AF56" i="22"/>
  <c r="AC56" i="22"/>
  <c r="Z56" i="22"/>
  <c r="W56" i="22"/>
  <c r="T56" i="22"/>
  <c r="Q56" i="22"/>
  <c r="N56" i="22"/>
  <c r="K56" i="22"/>
  <c r="H56" i="22"/>
  <c r="E56" i="22"/>
  <c r="AI55" i="22"/>
  <c r="D55" i="8" s="1"/>
  <c r="AF55" i="22"/>
  <c r="AC55" i="22"/>
  <c r="Z55" i="22"/>
  <c r="W55" i="22"/>
  <c r="T55" i="22"/>
  <c r="Q55" i="22"/>
  <c r="N55" i="22"/>
  <c r="K55" i="22"/>
  <c r="H55" i="22"/>
  <c r="E55" i="22"/>
  <c r="AI54" i="22"/>
  <c r="D54" i="8" s="1"/>
  <c r="AF54" i="22"/>
  <c r="AC54" i="22"/>
  <c r="Z54" i="22"/>
  <c r="W54" i="22"/>
  <c r="T54" i="22"/>
  <c r="Q54" i="22"/>
  <c r="N54" i="22"/>
  <c r="K54" i="22"/>
  <c r="H54" i="22"/>
  <c r="E54" i="22"/>
  <c r="AI53" i="22"/>
  <c r="D53" i="8" s="1"/>
  <c r="AF53" i="22"/>
  <c r="AC53" i="22"/>
  <c r="Z53" i="22"/>
  <c r="W53" i="22"/>
  <c r="T53" i="22"/>
  <c r="Q53" i="22"/>
  <c r="N53" i="22"/>
  <c r="K53" i="22"/>
  <c r="H53" i="22"/>
  <c r="E53" i="22"/>
  <c r="AI52" i="22"/>
  <c r="D52" i="8" s="1"/>
  <c r="AF52" i="22"/>
  <c r="AC52" i="22"/>
  <c r="Z52" i="22"/>
  <c r="W52" i="22"/>
  <c r="T52" i="22"/>
  <c r="Q52" i="22"/>
  <c r="N52" i="22"/>
  <c r="K52" i="22"/>
  <c r="H52" i="22"/>
  <c r="E52" i="22"/>
  <c r="AI51" i="22"/>
  <c r="D51" i="8" s="1"/>
  <c r="AF51" i="22"/>
  <c r="AC51" i="22"/>
  <c r="Z51" i="22"/>
  <c r="W51" i="22"/>
  <c r="T51" i="22"/>
  <c r="Q51" i="22"/>
  <c r="N51" i="22"/>
  <c r="K51" i="22"/>
  <c r="H51" i="22"/>
  <c r="E51" i="22"/>
  <c r="AI50" i="22"/>
  <c r="D50" i="8" s="1"/>
  <c r="AF50" i="22"/>
  <c r="AC50" i="22"/>
  <c r="Z50" i="22"/>
  <c r="W50" i="22"/>
  <c r="T50" i="22"/>
  <c r="Q50" i="22"/>
  <c r="N50" i="22"/>
  <c r="K50" i="22"/>
  <c r="H50" i="22"/>
  <c r="E50" i="22"/>
  <c r="AI49" i="22"/>
  <c r="D49" i="8" s="1"/>
  <c r="AF49" i="22"/>
  <c r="AC49" i="22"/>
  <c r="Z49" i="22"/>
  <c r="W49" i="22"/>
  <c r="T49" i="22"/>
  <c r="Q49" i="22"/>
  <c r="N49" i="22"/>
  <c r="K49" i="22"/>
  <c r="H49" i="22"/>
  <c r="E49" i="22"/>
  <c r="AI48" i="22"/>
  <c r="D48" i="8" s="1"/>
  <c r="AF48" i="22"/>
  <c r="AC48" i="22"/>
  <c r="Z48" i="22"/>
  <c r="W48" i="22"/>
  <c r="T48" i="22"/>
  <c r="Q48" i="22"/>
  <c r="N48" i="22"/>
  <c r="K48" i="22"/>
  <c r="H48" i="22"/>
  <c r="E48" i="22"/>
  <c r="AI47" i="22"/>
  <c r="D47" i="8" s="1"/>
  <c r="AF47" i="22"/>
  <c r="AC47" i="22"/>
  <c r="Z47" i="22"/>
  <c r="W47" i="22"/>
  <c r="T47" i="22"/>
  <c r="Q47" i="22"/>
  <c r="N47" i="22"/>
  <c r="K47" i="22"/>
  <c r="H47" i="22"/>
  <c r="E47" i="22"/>
  <c r="AI46" i="22"/>
  <c r="D46" i="8" s="1"/>
  <c r="AF46" i="22"/>
  <c r="AC46" i="22"/>
  <c r="Z46" i="22"/>
  <c r="W46" i="22"/>
  <c r="T46" i="22"/>
  <c r="Q46" i="22"/>
  <c r="N46" i="22"/>
  <c r="K46" i="22"/>
  <c r="H46" i="22"/>
  <c r="E46" i="22"/>
  <c r="AI45" i="22"/>
  <c r="D45" i="8" s="1"/>
  <c r="AF45" i="22"/>
  <c r="AC45" i="22"/>
  <c r="Z45" i="22"/>
  <c r="W45" i="22"/>
  <c r="T45" i="22"/>
  <c r="Q45" i="22"/>
  <c r="N45" i="22"/>
  <c r="K45" i="22"/>
  <c r="H45" i="22"/>
  <c r="E45" i="22"/>
  <c r="AI44" i="22"/>
  <c r="D44" i="8" s="1"/>
  <c r="AF44" i="22"/>
  <c r="AC44" i="22"/>
  <c r="Z44" i="22"/>
  <c r="W44" i="22"/>
  <c r="T44" i="22"/>
  <c r="Q44" i="22"/>
  <c r="N44" i="22"/>
  <c r="K44" i="22"/>
  <c r="H44" i="22"/>
  <c r="E44" i="22"/>
  <c r="AI43" i="22"/>
  <c r="D43" i="8" s="1"/>
  <c r="AF43" i="22"/>
  <c r="AC43" i="22"/>
  <c r="Z43" i="22"/>
  <c r="W43" i="22"/>
  <c r="T43" i="22"/>
  <c r="Q43" i="22"/>
  <c r="N43" i="22"/>
  <c r="K43" i="22"/>
  <c r="H43" i="22"/>
  <c r="E43" i="22"/>
  <c r="AI42" i="22"/>
  <c r="D42" i="8" s="1"/>
  <c r="AF42" i="22"/>
  <c r="AC42" i="22"/>
  <c r="Z42" i="22"/>
  <c r="W42" i="22"/>
  <c r="T42" i="22"/>
  <c r="Q42" i="22"/>
  <c r="N42" i="22"/>
  <c r="K42" i="22"/>
  <c r="H42" i="22"/>
  <c r="E42" i="22"/>
  <c r="AI41" i="22"/>
  <c r="D41" i="8" s="1"/>
  <c r="AF41" i="22"/>
  <c r="AC41" i="22"/>
  <c r="Z41" i="22"/>
  <c r="W41" i="22"/>
  <c r="T41" i="22"/>
  <c r="Q41" i="22"/>
  <c r="N41" i="22"/>
  <c r="K41" i="22"/>
  <c r="H41" i="22"/>
  <c r="E41" i="22"/>
  <c r="AI40" i="22"/>
  <c r="D40" i="8" s="1"/>
  <c r="AF40" i="22"/>
  <c r="AC40" i="22"/>
  <c r="Z40" i="22"/>
  <c r="W40" i="22"/>
  <c r="T40" i="22"/>
  <c r="Q40" i="22"/>
  <c r="N40" i="22"/>
  <c r="K40" i="22"/>
  <c r="H40" i="22"/>
  <c r="E40" i="22"/>
  <c r="AI39" i="22"/>
  <c r="D39" i="8" s="1"/>
  <c r="AF39" i="22"/>
  <c r="AC39" i="22"/>
  <c r="Z39" i="22"/>
  <c r="W39" i="22"/>
  <c r="T39" i="22"/>
  <c r="Q39" i="22"/>
  <c r="N39" i="22"/>
  <c r="K39" i="22"/>
  <c r="H39" i="22"/>
  <c r="E39" i="22"/>
  <c r="AI38" i="22"/>
  <c r="D38" i="8" s="1"/>
  <c r="AF38" i="22"/>
  <c r="AC38" i="22"/>
  <c r="Z38" i="22"/>
  <c r="W38" i="22"/>
  <c r="T38" i="22"/>
  <c r="Q38" i="22"/>
  <c r="N38" i="22"/>
  <c r="K38" i="22"/>
  <c r="H38" i="22"/>
  <c r="E38" i="22"/>
  <c r="AI37" i="22"/>
  <c r="D37" i="8" s="1"/>
  <c r="AF37" i="22"/>
  <c r="AC37" i="22"/>
  <c r="Z37" i="22"/>
  <c r="W37" i="22"/>
  <c r="T37" i="22"/>
  <c r="Q37" i="22"/>
  <c r="N37" i="22"/>
  <c r="K37" i="22"/>
  <c r="H37" i="22"/>
  <c r="E37" i="22"/>
  <c r="AI36" i="22"/>
  <c r="D36" i="8" s="1"/>
  <c r="AF36" i="22"/>
  <c r="AC36" i="22"/>
  <c r="Z36" i="22"/>
  <c r="W36" i="22"/>
  <c r="T36" i="22"/>
  <c r="Q36" i="22"/>
  <c r="N36" i="22"/>
  <c r="K36" i="22"/>
  <c r="H36" i="22"/>
  <c r="E36" i="22"/>
  <c r="AI35" i="22"/>
  <c r="D35" i="8" s="1"/>
  <c r="AF35" i="22"/>
  <c r="AC35" i="22"/>
  <c r="Z35" i="22"/>
  <c r="W35" i="22"/>
  <c r="T35" i="22"/>
  <c r="Q35" i="22"/>
  <c r="N35" i="22"/>
  <c r="K35" i="22"/>
  <c r="H35" i="22"/>
  <c r="E35" i="22"/>
  <c r="AI34" i="22"/>
  <c r="D34" i="8" s="1"/>
  <c r="AF34" i="22"/>
  <c r="AC34" i="22"/>
  <c r="Z34" i="22"/>
  <c r="W34" i="22"/>
  <c r="T34" i="22"/>
  <c r="Q34" i="22"/>
  <c r="N34" i="22"/>
  <c r="K34" i="22"/>
  <c r="H34" i="22"/>
  <c r="E34" i="22"/>
  <c r="AI33" i="22"/>
  <c r="D33" i="8" s="1"/>
  <c r="AF33" i="22"/>
  <c r="AC33" i="22"/>
  <c r="Z33" i="22"/>
  <c r="W33" i="22"/>
  <c r="T33" i="22"/>
  <c r="Q33" i="22"/>
  <c r="N33" i="22"/>
  <c r="K33" i="22"/>
  <c r="H33" i="22"/>
  <c r="E33" i="22"/>
  <c r="AI32" i="22"/>
  <c r="D32" i="8" s="1"/>
  <c r="AF32" i="22"/>
  <c r="AC32" i="22"/>
  <c r="Z32" i="22"/>
  <c r="W32" i="22"/>
  <c r="T32" i="22"/>
  <c r="Q32" i="22"/>
  <c r="N32" i="22"/>
  <c r="K32" i="22"/>
  <c r="H32" i="22"/>
  <c r="E32" i="22"/>
  <c r="AI31" i="22"/>
  <c r="D31" i="8" s="1"/>
  <c r="AF31" i="22"/>
  <c r="AC31" i="22"/>
  <c r="Z31" i="22"/>
  <c r="W31" i="22"/>
  <c r="T31" i="22"/>
  <c r="Q31" i="22"/>
  <c r="N31" i="22"/>
  <c r="K31" i="22"/>
  <c r="H31" i="22"/>
  <c r="E31" i="22"/>
  <c r="AI30" i="22"/>
  <c r="D30" i="8" s="1"/>
  <c r="AF30" i="22"/>
  <c r="AC30" i="22"/>
  <c r="Z30" i="22"/>
  <c r="W30" i="22"/>
  <c r="T30" i="22"/>
  <c r="Q30" i="22"/>
  <c r="N30" i="22"/>
  <c r="K30" i="22"/>
  <c r="H30" i="22"/>
  <c r="E30" i="22"/>
  <c r="AI29" i="22"/>
  <c r="D29" i="8" s="1"/>
  <c r="AF29" i="22"/>
  <c r="AC29" i="22"/>
  <c r="Z29" i="22"/>
  <c r="W29" i="22"/>
  <c r="T29" i="22"/>
  <c r="Q29" i="22"/>
  <c r="N29" i="22"/>
  <c r="K29" i="22"/>
  <c r="H29" i="22"/>
  <c r="E29" i="22"/>
  <c r="AI28" i="22"/>
  <c r="D28" i="8" s="1"/>
  <c r="AF28" i="22"/>
  <c r="AC28" i="22"/>
  <c r="Z28" i="22"/>
  <c r="W28" i="22"/>
  <c r="T28" i="22"/>
  <c r="Q28" i="22"/>
  <c r="N28" i="22"/>
  <c r="K28" i="22"/>
  <c r="H28" i="22"/>
  <c r="E28" i="22"/>
  <c r="AI27" i="22"/>
  <c r="D27" i="8" s="1"/>
  <c r="AF27" i="22"/>
  <c r="AC27" i="22"/>
  <c r="Z27" i="22"/>
  <c r="W27" i="22"/>
  <c r="T27" i="22"/>
  <c r="Q27" i="22"/>
  <c r="N27" i="22"/>
  <c r="K27" i="22"/>
  <c r="H27" i="22"/>
  <c r="E27" i="22"/>
  <c r="AI26" i="22"/>
  <c r="D26" i="8" s="1"/>
  <c r="AF26" i="22"/>
  <c r="AC26" i="22"/>
  <c r="Z26" i="22"/>
  <c r="W26" i="22"/>
  <c r="T26" i="22"/>
  <c r="Q26" i="22"/>
  <c r="N26" i="22"/>
  <c r="K26" i="22"/>
  <c r="H26" i="22"/>
  <c r="E26" i="22"/>
  <c r="AI25" i="22"/>
  <c r="D25" i="8" s="1"/>
  <c r="AF25" i="22"/>
  <c r="AC25" i="22"/>
  <c r="Z25" i="22"/>
  <c r="W25" i="22"/>
  <c r="T25" i="22"/>
  <c r="Q25" i="22"/>
  <c r="N25" i="22"/>
  <c r="K25" i="22"/>
  <c r="H25" i="22"/>
  <c r="E25" i="22"/>
  <c r="AI24" i="22"/>
  <c r="D24" i="8" s="1"/>
  <c r="AF24" i="22"/>
  <c r="AC24" i="22"/>
  <c r="Z24" i="22"/>
  <c r="W24" i="22"/>
  <c r="T24" i="22"/>
  <c r="Q24" i="22"/>
  <c r="N24" i="22"/>
  <c r="K24" i="22"/>
  <c r="H24" i="22"/>
  <c r="E24" i="22"/>
  <c r="AI23" i="22"/>
  <c r="D23" i="8" s="1"/>
  <c r="AF23" i="22"/>
  <c r="AC23" i="22"/>
  <c r="Z23" i="22"/>
  <c r="W23" i="22"/>
  <c r="T23" i="22"/>
  <c r="Q23" i="22"/>
  <c r="N23" i="22"/>
  <c r="K23" i="22"/>
  <c r="H23" i="22"/>
  <c r="E23" i="22"/>
  <c r="AI22" i="22"/>
  <c r="D22" i="8" s="1"/>
  <c r="AF22" i="22"/>
  <c r="AC22" i="22"/>
  <c r="Z22" i="22"/>
  <c r="W22" i="22"/>
  <c r="T22" i="22"/>
  <c r="Q22" i="22"/>
  <c r="N22" i="22"/>
  <c r="K22" i="22"/>
  <c r="H22" i="22"/>
  <c r="E22" i="22"/>
  <c r="AI21" i="22"/>
  <c r="D21" i="8" s="1"/>
  <c r="AF21" i="22"/>
  <c r="AC21" i="22"/>
  <c r="Z21" i="22"/>
  <c r="W21" i="22"/>
  <c r="T21" i="22"/>
  <c r="Q21" i="22"/>
  <c r="N21" i="22"/>
  <c r="K21" i="22"/>
  <c r="H21" i="22"/>
  <c r="E21" i="22"/>
  <c r="AI20" i="22"/>
  <c r="D20" i="8" s="1"/>
  <c r="AF20" i="22"/>
  <c r="AC20" i="22"/>
  <c r="Z20" i="22"/>
  <c r="W20" i="22"/>
  <c r="T20" i="22"/>
  <c r="Q20" i="22"/>
  <c r="N20" i="22"/>
  <c r="K20" i="22"/>
  <c r="H20" i="22"/>
  <c r="E20" i="22"/>
  <c r="AI19" i="22"/>
  <c r="D19" i="8" s="1"/>
  <c r="AF19" i="22"/>
  <c r="AC19" i="22"/>
  <c r="Z19" i="22"/>
  <c r="W19" i="22"/>
  <c r="T19" i="22"/>
  <c r="Q19" i="22"/>
  <c r="N19" i="22"/>
  <c r="K19" i="22"/>
  <c r="H19" i="22"/>
  <c r="E19" i="22"/>
  <c r="AI18" i="22"/>
  <c r="D18" i="8" s="1"/>
  <c r="AF18" i="22"/>
  <c r="AC18" i="22"/>
  <c r="Z18" i="22"/>
  <c r="W18" i="22"/>
  <c r="T18" i="22"/>
  <c r="Q18" i="22"/>
  <c r="N18" i="22"/>
  <c r="K18" i="22"/>
  <c r="H18" i="22"/>
  <c r="E18" i="22"/>
  <c r="AI17" i="22"/>
  <c r="D17" i="8" s="1"/>
  <c r="AF17" i="22"/>
  <c r="AC17" i="22"/>
  <c r="Z17" i="22"/>
  <c r="W17" i="22"/>
  <c r="T17" i="22"/>
  <c r="Q17" i="22"/>
  <c r="N17" i="22"/>
  <c r="K17" i="22"/>
  <c r="H17" i="22"/>
  <c r="E17" i="22"/>
  <c r="AI16" i="22"/>
  <c r="D16" i="8" s="1"/>
  <c r="AF16" i="22"/>
  <c r="AC16" i="22"/>
  <c r="Z16" i="22"/>
  <c r="W16" i="22"/>
  <c r="T16" i="22"/>
  <c r="Q16" i="22"/>
  <c r="N16" i="22"/>
  <c r="K16" i="22"/>
  <c r="H16" i="22"/>
  <c r="E16" i="22"/>
  <c r="AI15" i="22"/>
  <c r="D15" i="8" s="1"/>
  <c r="AF15" i="22"/>
  <c r="AC15" i="22"/>
  <c r="Z15" i="22"/>
  <c r="W15" i="22"/>
  <c r="T15" i="22"/>
  <c r="Q15" i="22"/>
  <c r="N15" i="22"/>
  <c r="K15" i="22"/>
  <c r="H15" i="22"/>
  <c r="E15" i="22"/>
  <c r="AI14" i="22"/>
  <c r="D14" i="8" s="1"/>
  <c r="AF14" i="22"/>
  <c r="AC14" i="22"/>
  <c r="Z14" i="22"/>
  <c r="W14" i="22"/>
  <c r="T14" i="22"/>
  <c r="Q14" i="22"/>
  <c r="N14" i="22"/>
  <c r="K14" i="22"/>
  <c r="H14" i="22"/>
  <c r="E14" i="22"/>
  <c r="AI13" i="22"/>
  <c r="D13" i="8" s="1"/>
  <c r="AF13" i="22"/>
  <c r="AC13" i="22"/>
  <c r="Z13" i="22"/>
  <c r="W13" i="22"/>
  <c r="T13" i="22"/>
  <c r="Q13" i="22"/>
  <c r="N13" i="22"/>
  <c r="K13" i="22"/>
  <c r="H13" i="22"/>
  <c r="E13" i="22"/>
  <c r="AI12" i="22"/>
  <c r="D12" i="8" s="1"/>
  <c r="AF12" i="22"/>
  <c r="AC12" i="22"/>
  <c r="Z12" i="22"/>
  <c r="W12" i="22"/>
  <c r="T12" i="22"/>
  <c r="Q12" i="22"/>
  <c r="N12" i="22"/>
  <c r="K12" i="22"/>
  <c r="H12" i="22"/>
  <c r="E12" i="22"/>
  <c r="AI11" i="22"/>
  <c r="D11" i="8" s="1"/>
  <c r="AF11" i="22"/>
  <c r="AC11" i="22"/>
  <c r="Z11" i="22"/>
  <c r="W11" i="22"/>
  <c r="T11" i="22"/>
  <c r="Q11" i="22"/>
  <c r="N11" i="22"/>
  <c r="K11" i="22"/>
  <c r="H11" i="22"/>
  <c r="E11" i="22"/>
  <c r="AI10" i="22"/>
  <c r="D10" i="8" s="1"/>
  <c r="AF10" i="22"/>
  <c r="AC10" i="22"/>
  <c r="Z10" i="22"/>
  <c r="W10" i="22"/>
  <c r="T10" i="22"/>
  <c r="Q10" i="22"/>
  <c r="N10" i="22"/>
  <c r="K10" i="22"/>
  <c r="H10" i="22"/>
  <c r="E10" i="22"/>
  <c r="AG4" i="22"/>
  <c r="AG3" i="22"/>
  <c r="AH1" i="22"/>
  <c r="F101" i="8" l="1"/>
  <c r="F93" i="8"/>
  <c r="F55" i="8"/>
  <c r="F59" i="8"/>
  <c r="F51" i="8"/>
  <c r="F81" i="8"/>
  <c r="F17" i="8"/>
  <c r="F13" i="8"/>
  <c r="F24" i="8"/>
  <c r="F62" i="8"/>
  <c r="F73" i="8"/>
  <c r="F77" i="8"/>
  <c r="F43" i="8"/>
  <c r="F37" i="8"/>
  <c r="F88" i="8"/>
  <c r="F92" i="8"/>
  <c r="F21" i="8"/>
  <c r="F32" i="8"/>
  <c r="F36" i="8"/>
  <c r="F70" i="8"/>
  <c r="F28" i="8"/>
  <c r="F25" i="8"/>
  <c r="F14" i="8"/>
  <c r="F44" i="8"/>
  <c r="F78" i="8"/>
  <c r="F89" i="8"/>
  <c r="F104" i="8"/>
  <c r="F107" i="8"/>
  <c r="F16" i="8"/>
  <c r="F20" i="8"/>
  <c r="F54" i="8"/>
  <c r="F103" i="8"/>
  <c r="F102" i="8"/>
  <c r="F47" i="8"/>
  <c r="F85" i="8"/>
  <c r="F96" i="8"/>
  <c r="F100" i="8"/>
  <c r="F10" i="8"/>
  <c r="F41" i="8"/>
  <c r="F45" i="8"/>
  <c r="F56" i="8"/>
  <c r="F60" i="8"/>
  <c r="F75" i="8"/>
  <c r="F90" i="8"/>
  <c r="F65" i="8"/>
  <c r="F19" i="8"/>
  <c r="F11" i="8"/>
  <c r="F26" i="8"/>
  <c r="F30" i="8"/>
  <c r="F69" i="8"/>
  <c r="F52" i="8"/>
  <c r="F67" i="8"/>
  <c r="F86" i="8"/>
  <c r="F97" i="8"/>
  <c r="F31" i="8"/>
  <c r="F80" i="8"/>
  <c r="F94" i="8"/>
  <c r="F64" i="8"/>
  <c r="F105" i="8"/>
  <c r="F87" i="8"/>
  <c r="F38" i="8"/>
  <c r="F99" i="8"/>
  <c r="F83" i="8"/>
  <c r="F27" i="8"/>
  <c r="F42" i="8"/>
  <c r="F46" i="8"/>
  <c r="F35" i="8"/>
  <c r="F57" i="8"/>
  <c r="F61" i="8"/>
  <c r="F91" i="8"/>
  <c r="F63" i="8"/>
  <c r="F39" i="8"/>
  <c r="F66" i="8"/>
  <c r="F29" i="8"/>
  <c r="F40" i="8"/>
  <c r="F12" i="8"/>
  <c r="F95" i="8"/>
  <c r="F84" i="8"/>
  <c r="F71" i="8"/>
  <c r="F72" i="8"/>
  <c r="F76" i="8"/>
  <c r="F106" i="8"/>
  <c r="F58" i="8"/>
  <c r="F15" i="8"/>
  <c r="F22" i="8"/>
  <c r="F33" i="8"/>
  <c r="F48" i="8"/>
  <c r="F79" i="8"/>
  <c r="F23" i="8"/>
  <c r="F34" i="8"/>
  <c r="F49" i="8"/>
  <c r="F53" i="8"/>
  <c r="F68" i="8"/>
  <c r="F98" i="8"/>
  <c r="F18" i="8"/>
  <c r="F82" i="8"/>
  <c r="F50" i="8"/>
  <c r="F74" i="8"/>
  <c r="JD2" i="21"/>
  <c r="JC2" i="21"/>
  <c r="JB2" i="21"/>
  <c r="JA2" i="21"/>
  <c r="IZ2" i="21"/>
  <c r="IY2" i="21"/>
  <c r="IX2" i="21"/>
  <c r="IW2" i="21"/>
  <c r="IV2" i="21"/>
  <c r="IU2" i="21"/>
  <c r="IT2" i="21"/>
  <c r="IS2" i="21"/>
  <c r="IR2" i="21"/>
  <c r="IQ2" i="21"/>
  <c r="IP2" i="21"/>
  <c r="IO2" i="21"/>
  <c r="IN2" i="21"/>
  <c r="IM2" i="21"/>
  <c r="IL2" i="21"/>
  <c r="IK2" i="21"/>
  <c r="IJ2" i="21"/>
  <c r="II2" i="21"/>
  <c r="IH2" i="21"/>
  <c r="IG2" i="21"/>
  <c r="IF2" i="21"/>
  <c r="IE2" i="21"/>
  <c r="ID2" i="21"/>
  <c r="IC2" i="21"/>
  <c r="IB2" i="21"/>
  <c r="IA2" i="21"/>
  <c r="HZ2" i="21"/>
  <c r="HY2" i="21"/>
  <c r="HX2" i="21"/>
  <c r="HW2" i="21"/>
  <c r="HV2" i="21"/>
  <c r="HU2" i="21"/>
  <c r="HT2" i="21"/>
  <c r="HS2" i="21"/>
  <c r="HR2" i="21"/>
  <c r="HQ2" i="21"/>
  <c r="HP2" i="21"/>
  <c r="HO2" i="21"/>
  <c r="HN2" i="21"/>
  <c r="HM2" i="21"/>
  <c r="HL2" i="21"/>
  <c r="HK2" i="21"/>
  <c r="HJ2" i="21"/>
  <c r="HI2" i="21"/>
  <c r="HH2" i="21"/>
  <c r="HG2" i="21"/>
  <c r="HF2" i="21"/>
  <c r="HE2" i="21"/>
  <c r="HD2" i="21"/>
  <c r="HC2" i="21"/>
  <c r="HB2" i="21"/>
  <c r="HA2" i="21"/>
  <c r="GZ2" i="21"/>
  <c r="GY2" i="21"/>
  <c r="GX2" i="21"/>
  <c r="GW2" i="21"/>
  <c r="GV2" i="21"/>
  <c r="GU2" i="21"/>
  <c r="GT2" i="21"/>
  <c r="GS2" i="21"/>
  <c r="GR2" i="21"/>
  <c r="GQ2" i="21"/>
  <c r="GP2" i="21"/>
  <c r="GO2" i="21"/>
  <c r="GN2" i="21"/>
  <c r="GM2" i="21"/>
  <c r="GL2" i="21"/>
  <c r="GK2" i="21"/>
  <c r="GJ2" i="21"/>
  <c r="GI2" i="21"/>
  <c r="GH2" i="21"/>
  <c r="GG2" i="21"/>
  <c r="GF2" i="21"/>
  <c r="GE2" i="21"/>
  <c r="GD2" i="21"/>
  <c r="GC2" i="21"/>
  <c r="GB2" i="21"/>
  <c r="GA2" i="21"/>
  <c r="FZ2" i="21"/>
  <c r="FY2" i="21"/>
  <c r="FX2" i="21"/>
  <c r="FW2" i="21"/>
  <c r="FV2" i="21"/>
  <c r="FU2" i="21"/>
  <c r="FT2" i="21"/>
  <c r="FS2" i="21"/>
  <c r="FR2" i="21"/>
  <c r="FQ2" i="21"/>
  <c r="FP2" i="21"/>
  <c r="FO2" i="21"/>
  <c r="FN2" i="21"/>
  <c r="FM2" i="21"/>
  <c r="FL2" i="21"/>
  <c r="FK2" i="21"/>
  <c r="FJ2" i="21"/>
  <c r="FI2" i="21"/>
  <c r="FH2" i="21"/>
  <c r="FG2" i="21"/>
  <c r="FF2" i="21"/>
  <c r="FE2" i="21"/>
  <c r="FD2" i="21"/>
  <c r="FC2" i="21"/>
  <c r="FB2" i="21"/>
  <c r="FA2" i="21"/>
  <c r="EZ2" i="21"/>
  <c r="EY2" i="21"/>
  <c r="EX2" i="21"/>
  <c r="EW2" i="21"/>
  <c r="EV2" i="21"/>
  <c r="EU2" i="21"/>
  <c r="ET2" i="21"/>
  <c r="ES2" i="21"/>
  <c r="ER2" i="21"/>
  <c r="EQ2" i="21"/>
  <c r="EP2" i="21"/>
  <c r="EO2" i="21"/>
  <c r="EN2" i="21"/>
  <c r="EM2" i="21"/>
  <c r="EL2" i="21"/>
  <c r="EK2" i="21"/>
  <c r="EJ2" i="21"/>
  <c r="EI2" i="21"/>
  <c r="EH2" i="21"/>
  <c r="EG2" i="21"/>
  <c r="EF2" i="21"/>
  <c r="EE2" i="21"/>
  <c r="ED2" i="21"/>
  <c r="EC2" i="21"/>
  <c r="EB2" i="21"/>
  <c r="EA2" i="21"/>
  <c r="DZ2" i="21"/>
  <c r="DY2" i="21"/>
  <c r="DX2" i="21"/>
  <c r="DW2" i="21"/>
  <c r="DV2" i="21"/>
  <c r="DU2" i="21"/>
  <c r="DT2" i="21"/>
  <c r="DS2" i="21"/>
  <c r="DR2" i="21"/>
  <c r="DQ2" i="21"/>
  <c r="DP2" i="21"/>
  <c r="DO2" i="21"/>
  <c r="DN2" i="21"/>
  <c r="DM2" i="21"/>
  <c r="DL2" i="21"/>
  <c r="DK2" i="21"/>
  <c r="DJ2" i="21"/>
  <c r="DI2" i="21"/>
  <c r="DH2" i="21"/>
  <c r="DG2" i="21"/>
  <c r="DF2" i="21"/>
  <c r="DE2" i="21"/>
  <c r="DD2" i="21"/>
  <c r="DC2" i="21"/>
  <c r="DB2" i="21"/>
  <c r="DA2" i="21"/>
  <c r="CZ2" i="21"/>
  <c r="CY2" i="21"/>
  <c r="CX2" i="21"/>
  <c r="CW2" i="21"/>
  <c r="CV2" i="21"/>
  <c r="CU2" i="21"/>
  <c r="CT2" i="21"/>
  <c r="CS2" i="21"/>
  <c r="CR2" i="21"/>
  <c r="CQ2" i="21"/>
  <c r="CP2" i="21"/>
  <c r="CO2" i="21"/>
  <c r="CN2" i="21"/>
  <c r="CM2" i="21"/>
  <c r="CL2" i="21"/>
  <c r="CK2" i="21"/>
  <c r="CJ2" i="21"/>
  <c r="CI2" i="21"/>
  <c r="CH2" i="21"/>
  <c r="CG2" i="21"/>
  <c r="CF2" i="21"/>
  <c r="CE2" i="21"/>
  <c r="CD2" i="21"/>
  <c r="CC2" i="21"/>
  <c r="CB2" i="21"/>
  <c r="CA2" i="21"/>
  <c r="BZ2" i="21"/>
  <c r="BY2" i="21"/>
  <c r="BX2" i="21"/>
  <c r="BW2" i="21"/>
  <c r="BV2" i="21"/>
  <c r="BU2" i="21"/>
  <c r="BT2" i="21"/>
  <c r="BS2" i="21"/>
  <c r="BR2" i="21"/>
  <c r="BQ2" i="21"/>
  <c r="BP2" i="21"/>
  <c r="BO2" i="21"/>
  <c r="BN2" i="21"/>
  <c r="BM2" i="21"/>
  <c r="BL2" i="21"/>
  <c r="BK2" i="21"/>
  <c r="BJ2" i="21"/>
  <c r="BI2" i="21"/>
  <c r="BH2" i="21"/>
  <c r="BG2" i="21"/>
  <c r="BF2" i="21"/>
  <c r="BE2" i="21"/>
  <c r="BD2" i="21"/>
  <c r="BC2" i="21"/>
  <c r="BB2" i="21"/>
  <c r="BA2" i="21"/>
  <c r="AZ2" i="21"/>
  <c r="AY2" i="21"/>
  <c r="AX2" i="21"/>
  <c r="AW2" i="21"/>
  <c r="AV2" i="21"/>
  <c r="AU2" i="21"/>
  <c r="AT2" i="21"/>
  <c r="AS2" i="21"/>
  <c r="AR2" i="21"/>
  <c r="AQ2" i="21"/>
  <c r="AP2" i="21"/>
  <c r="AO2" i="21"/>
  <c r="AN2" i="21"/>
  <c r="AM2" i="21"/>
  <c r="AL2" i="21"/>
  <c r="AK2" i="21"/>
  <c r="AJ2" i="21"/>
  <c r="AI2" i="21"/>
  <c r="AH2" i="21"/>
  <c r="AG2" i="21"/>
  <c r="AF2" i="21"/>
  <c r="AE2" i="21"/>
  <c r="AD2" i="21"/>
  <c r="AC2" i="21"/>
  <c r="AB2" i="21"/>
  <c r="AA2" i="21"/>
  <c r="Z2" i="21"/>
  <c r="Y2" i="21"/>
  <c r="X2" i="21"/>
  <c r="W2" i="21"/>
  <c r="V2" i="21"/>
  <c r="U2" i="21"/>
  <c r="T2" i="21"/>
  <c r="S2" i="21"/>
  <c r="R2" i="21"/>
  <c r="Q2" i="21"/>
  <c r="P2" i="21"/>
  <c r="O2" i="21"/>
  <c r="N2" i="21"/>
  <c r="M2" i="21"/>
  <c r="L2" i="21"/>
  <c r="K2" i="21"/>
  <c r="J2" i="21"/>
  <c r="I2" i="21"/>
  <c r="H2" i="21"/>
  <c r="G2" i="21"/>
  <c r="F2" i="21"/>
  <c r="E2" i="21"/>
  <c r="D2" i="21"/>
  <c r="C2" i="21"/>
  <c r="B2" i="21"/>
  <c r="JD1" i="21"/>
  <c r="JC1" i="21"/>
  <c r="JB1" i="21"/>
  <c r="JA1" i="21"/>
  <c r="IZ1" i="21"/>
  <c r="IY1" i="21"/>
  <c r="IX1" i="21"/>
  <c r="IW1" i="21"/>
  <c r="IV1" i="21"/>
  <c r="IU1" i="21"/>
  <c r="IT1" i="21"/>
  <c r="IS1" i="21"/>
  <c r="IR1" i="21"/>
  <c r="IQ1" i="21"/>
  <c r="IP1" i="21"/>
  <c r="IO1" i="21"/>
  <c r="IN1" i="21"/>
  <c r="IM1" i="21"/>
  <c r="IL1" i="21"/>
  <c r="IK1" i="21"/>
  <c r="IJ1" i="21"/>
  <c r="II1" i="21"/>
  <c r="IH1" i="21"/>
  <c r="IG1" i="21"/>
  <c r="IF1" i="21"/>
  <c r="IE1" i="21"/>
  <c r="ID1" i="21"/>
  <c r="IC1" i="21"/>
  <c r="IB1" i="21"/>
  <c r="IA1" i="21"/>
  <c r="HZ1" i="21"/>
  <c r="HY1" i="21"/>
  <c r="HX1" i="21"/>
  <c r="HW1" i="21"/>
  <c r="HV1" i="21"/>
  <c r="HU1" i="21"/>
  <c r="HT1" i="21"/>
  <c r="HS1" i="21"/>
  <c r="HR1" i="21"/>
  <c r="HQ1" i="21"/>
  <c r="HP1" i="21"/>
  <c r="HO1" i="21"/>
  <c r="HN1" i="21"/>
  <c r="HM1" i="21"/>
  <c r="HL1" i="21"/>
  <c r="HK1" i="21"/>
  <c r="HJ1" i="21"/>
  <c r="HI1" i="21"/>
  <c r="HH1" i="21"/>
  <c r="HG1" i="21"/>
  <c r="HF1" i="21"/>
  <c r="HE1" i="21"/>
  <c r="HD1" i="21"/>
  <c r="HC1" i="21"/>
  <c r="HB1" i="21"/>
  <c r="HA1" i="21"/>
  <c r="GZ1" i="21"/>
  <c r="GY1" i="21"/>
  <c r="GX1" i="21"/>
  <c r="GW1" i="21"/>
  <c r="GV1" i="21"/>
  <c r="GU1" i="21"/>
  <c r="GT1" i="21"/>
  <c r="GS1" i="21"/>
  <c r="GR1" i="21"/>
  <c r="GQ1" i="21"/>
  <c r="GP1" i="21"/>
  <c r="GO1" i="21"/>
  <c r="GN1" i="21"/>
  <c r="GM1" i="21"/>
  <c r="GL1" i="21"/>
  <c r="GK1" i="21"/>
  <c r="GJ1" i="21"/>
  <c r="GI1" i="21"/>
  <c r="GH1" i="21"/>
  <c r="GG1" i="21"/>
  <c r="GF1" i="21"/>
  <c r="GE1" i="21"/>
  <c r="GD1" i="21"/>
  <c r="GC1" i="21"/>
  <c r="GB1" i="21"/>
  <c r="GA1" i="21"/>
  <c r="FZ1" i="21"/>
  <c r="FY1" i="21"/>
  <c r="FX1" i="21"/>
  <c r="FW1" i="21"/>
  <c r="FV1" i="21"/>
  <c r="FU1" i="21"/>
  <c r="FT1" i="21"/>
  <c r="FS1" i="21"/>
  <c r="FR1" i="21"/>
  <c r="FQ1" i="21"/>
  <c r="FP1" i="21"/>
  <c r="FO1" i="21"/>
  <c r="FN1" i="21"/>
  <c r="FM1" i="21"/>
  <c r="FL1" i="21"/>
  <c r="FK1" i="21"/>
  <c r="FJ1" i="21"/>
  <c r="FI1" i="21"/>
  <c r="FH1" i="21"/>
  <c r="FG1" i="21"/>
  <c r="FF1" i="21"/>
  <c r="FE1" i="21"/>
  <c r="FD1" i="21"/>
  <c r="FC1" i="21"/>
  <c r="FB1" i="21"/>
  <c r="FA1" i="21"/>
  <c r="EZ1" i="21"/>
  <c r="EY1" i="21"/>
  <c r="EX1" i="21"/>
  <c r="EW1" i="21"/>
  <c r="EV1" i="21"/>
  <c r="EU1" i="21"/>
  <c r="ET1" i="21"/>
  <c r="ES1" i="21"/>
  <c r="ER1" i="21"/>
  <c r="EQ1" i="21"/>
  <c r="EP1" i="21"/>
  <c r="EO1" i="21"/>
  <c r="EN1" i="21"/>
  <c r="EM1" i="21"/>
  <c r="EL1" i="21"/>
  <c r="EK1" i="21"/>
  <c r="EJ1" i="21"/>
  <c r="EI1" i="21"/>
  <c r="EH1" i="21"/>
  <c r="EG1" i="21"/>
  <c r="EF1" i="21"/>
  <c r="EE1" i="21"/>
  <c r="ED1" i="21"/>
  <c r="EC1" i="21"/>
  <c r="EB1" i="21"/>
  <c r="EA1" i="21"/>
  <c r="DZ1" i="21"/>
  <c r="DY1" i="21"/>
  <c r="DX1" i="21"/>
  <c r="DW1" i="21"/>
  <c r="DV1" i="21"/>
  <c r="DU1" i="21"/>
  <c r="DT1" i="21"/>
  <c r="DS1" i="21"/>
  <c r="DR1" i="21"/>
  <c r="DQ1" i="21"/>
  <c r="DP1" i="21"/>
  <c r="DO1" i="21"/>
  <c r="DN1" i="21"/>
  <c r="DM1" i="21"/>
  <c r="DL1" i="21"/>
  <c r="DK1" i="21"/>
  <c r="DJ1" i="21"/>
  <c r="DI1" i="21"/>
  <c r="DH1" i="21"/>
  <c r="DG1" i="21"/>
  <c r="DF1" i="21"/>
  <c r="DE1" i="21"/>
  <c r="DD1" i="21"/>
  <c r="DC1" i="21"/>
  <c r="DB1" i="21"/>
  <c r="DA1" i="21"/>
  <c r="CZ1" i="21"/>
  <c r="CY1" i="21"/>
  <c r="CX1" i="21"/>
  <c r="CW1" i="21"/>
  <c r="CV1" i="21"/>
  <c r="CU1" i="21"/>
  <c r="CT1" i="21"/>
  <c r="CS1" i="21"/>
  <c r="CR1" i="21"/>
  <c r="CQ1" i="21"/>
  <c r="CP1" i="21"/>
  <c r="CO1" i="21"/>
  <c r="CN1" i="21"/>
  <c r="CM1" i="21"/>
  <c r="CL1" i="21"/>
  <c r="CK1" i="21"/>
  <c r="CJ1" i="21"/>
  <c r="CI1" i="21"/>
  <c r="CH1" i="21"/>
  <c r="CG1" i="21"/>
  <c r="CF1" i="21"/>
  <c r="CE1" i="21"/>
  <c r="CD1" i="21"/>
  <c r="CC1" i="21"/>
  <c r="CB1" i="21"/>
  <c r="CA1" i="21"/>
  <c r="BZ1" i="21"/>
  <c r="BY1" i="21"/>
  <c r="BX1" i="21"/>
  <c r="BW1" i="21"/>
  <c r="BV1" i="21"/>
  <c r="BU1" i="21"/>
  <c r="BT1" i="21"/>
  <c r="BS1" i="21"/>
  <c r="BR1" i="21"/>
  <c r="BQ1" i="21"/>
  <c r="BP1" i="21"/>
  <c r="BO1" i="21"/>
  <c r="BN1" i="21"/>
  <c r="BM1" i="21"/>
  <c r="BL1" i="21"/>
  <c r="BK1" i="21"/>
  <c r="BJ1" i="21"/>
  <c r="BI1" i="21"/>
  <c r="BH1" i="21"/>
  <c r="BG1" i="21"/>
  <c r="BF1" i="21"/>
  <c r="BE1" i="21"/>
  <c r="BD1" i="21"/>
  <c r="BC1" i="21"/>
  <c r="BB1" i="21"/>
  <c r="BA1" i="21"/>
  <c r="AZ1" i="21"/>
  <c r="AY1" i="21"/>
  <c r="AX1" i="21"/>
  <c r="AW1" i="21"/>
  <c r="AV1" i="21"/>
  <c r="AU1" i="21"/>
  <c r="AT1" i="21"/>
  <c r="AS1" i="21"/>
  <c r="AR1" i="21"/>
  <c r="AQ1" i="21"/>
  <c r="AP1" i="21"/>
  <c r="AO1" i="21"/>
  <c r="AN1" i="21"/>
  <c r="AM1" i="21"/>
  <c r="AL1" i="21"/>
  <c r="AK1" i="21"/>
  <c r="AJ1" i="21"/>
  <c r="AI1" i="21"/>
  <c r="AH1" i="21"/>
  <c r="AG1" i="21"/>
  <c r="AF1" i="21"/>
  <c r="AE1" i="21"/>
  <c r="AD1" i="21"/>
  <c r="AC1" i="21"/>
  <c r="AB1" i="21"/>
  <c r="AA1" i="21"/>
  <c r="Z1" i="21"/>
  <c r="Y1" i="21"/>
  <c r="X1" i="21"/>
  <c r="W1" i="21"/>
  <c r="V1" i="21"/>
  <c r="U1" i="21"/>
  <c r="T1" i="21"/>
  <c r="S1" i="21"/>
  <c r="R1" i="21"/>
  <c r="Q1" i="21"/>
  <c r="P1" i="21"/>
  <c r="O1" i="21"/>
  <c r="N1" i="21"/>
  <c r="M1" i="21"/>
  <c r="L1" i="21"/>
  <c r="K1" i="21"/>
  <c r="J1" i="21"/>
  <c r="I1" i="21"/>
  <c r="H1" i="21"/>
  <c r="G1" i="21"/>
  <c r="F1" i="21"/>
  <c r="E1" i="21"/>
  <c r="D1" i="21"/>
  <c r="C1" i="21"/>
  <c r="B1" i="21"/>
  <c r="A163" i="20"/>
  <c r="A162" i="20"/>
  <c r="A161" i="20"/>
  <c r="A160" i="20"/>
  <c r="A159" i="20"/>
  <c r="A158" i="20"/>
  <c r="A157" i="20"/>
  <c r="A156" i="20"/>
  <c r="A155" i="20"/>
  <c r="A154" i="20"/>
  <c r="A153" i="20"/>
  <c r="A152" i="20"/>
  <c r="A151" i="20"/>
  <c r="A150" i="20"/>
  <c r="A149" i="20"/>
  <c r="A148" i="20"/>
  <c r="A147" i="20"/>
  <c r="A146" i="20"/>
  <c r="A145" i="20"/>
  <c r="A144" i="20"/>
  <c r="A143" i="20"/>
  <c r="A142" i="20"/>
  <c r="A141" i="20"/>
  <c r="A140" i="20"/>
  <c r="A139" i="20"/>
  <c r="A138" i="20"/>
  <c r="A137" i="20"/>
  <c r="A136" i="20"/>
  <c r="A135" i="20"/>
  <c r="A134" i="20"/>
  <c r="A133" i="20"/>
  <c r="A132" i="20"/>
  <c r="A131" i="20"/>
  <c r="A130" i="20"/>
  <c r="A129" i="20"/>
  <c r="A128" i="20"/>
  <c r="A127" i="20"/>
  <c r="A126" i="20"/>
  <c r="A125" i="20"/>
  <c r="A124" i="20"/>
  <c r="A123" i="20"/>
  <c r="A122" i="20"/>
  <c r="A121" i="20"/>
  <c r="A120" i="20"/>
  <c r="A119" i="20"/>
  <c r="A118" i="20"/>
  <c r="A117" i="20"/>
  <c r="A116" i="20"/>
  <c r="A115" i="20"/>
  <c r="A114" i="20"/>
  <c r="A113" i="20"/>
  <c r="A112" i="20"/>
  <c r="A111" i="20"/>
  <c r="A110" i="20"/>
  <c r="A109" i="20"/>
  <c r="A108" i="20"/>
  <c r="A107" i="20"/>
  <c r="A106" i="20"/>
  <c r="A105" i="20"/>
  <c r="A104" i="20"/>
  <c r="A103" i="20"/>
  <c r="A102" i="20"/>
  <c r="A101" i="20"/>
  <c r="A100" i="20"/>
  <c r="A99" i="20"/>
  <c r="A98" i="20"/>
  <c r="A97" i="20"/>
  <c r="A96" i="20"/>
  <c r="A95" i="20"/>
  <c r="A94" i="20"/>
  <c r="A93" i="20"/>
  <c r="A92" i="20"/>
  <c r="A91" i="20"/>
  <c r="A90" i="20"/>
  <c r="A89" i="20"/>
  <c r="A88" i="20"/>
  <c r="A87" i="20"/>
  <c r="A86" i="20"/>
  <c r="A85" i="20"/>
  <c r="A84" i="20"/>
  <c r="A83" i="20"/>
  <c r="A82" i="20"/>
  <c r="A81" i="20"/>
  <c r="A80" i="20"/>
  <c r="A79" i="20"/>
  <c r="A78" i="20"/>
  <c r="A77" i="20"/>
  <c r="A76" i="20"/>
  <c r="A75" i="20"/>
  <c r="A74" i="20"/>
  <c r="A73" i="20"/>
  <c r="A72" i="20"/>
  <c r="A71" i="20"/>
  <c r="A70" i="20"/>
  <c r="A69" i="20"/>
  <c r="A68" i="20"/>
  <c r="A67" i="20"/>
  <c r="A66" i="20"/>
  <c r="A65" i="20"/>
  <c r="A64" i="20"/>
  <c r="A63" i="20"/>
  <c r="A62" i="20"/>
  <c r="A61" i="20"/>
  <c r="A60" i="20"/>
  <c r="A59" i="20"/>
  <c r="A58" i="20"/>
  <c r="A57" i="20"/>
  <c r="A56" i="20"/>
  <c r="A55" i="20"/>
  <c r="A54" i="20"/>
  <c r="A53" i="20"/>
  <c r="A52" i="20"/>
  <c r="A51" i="20"/>
  <c r="A50" i="20"/>
  <c r="A49" i="20"/>
  <c r="A48" i="20"/>
  <c r="A47" i="20"/>
  <c r="A46" i="20"/>
  <c r="A45" i="20"/>
  <c r="A44" i="20"/>
  <c r="A43" i="20"/>
  <c r="A42" i="20"/>
  <c r="A41" i="20"/>
  <c r="A40" i="20"/>
  <c r="A39" i="20"/>
  <c r="A38" i="20"/>
  <c r="A37" i="20"/>
  <c r="A36" i="20"/>
  <c r="A35" i="20"/>
  <c r="A34" i="20"/>
  <c r="A33" i="20"/>
  <c r="A32" i="20"/>
  <c r="A31" i="20"/>
  <c r="A30" i="20"/>
  <c r="A29" i="20"/>
  <c r="A28" i="20"/>
  <c r="A27" i="20"/>
  <c r="A26" i="20"/>
  <c r="A25" i="20"/>
  <c r="A24" i="20"/>
  <c r="A23" i="20"/>
  <c r="A22" i="20"/>
  <c r="A21" i="20"/>
  <c r="A20" i="20"/>
  <c r="A19" i="20"/>
  <c r="A18" i="20"/>
  <c r="P17" i="20"/>
  <c r="H17" i="20"/>
  <c r="H16" i="20" s="1"/>
  <c r="H15" i="20" s="1"/>
  <c r="A17" i="20"/>
  <c r="A16" i="20"/>
  <c r="A15" i="20"/>
  <c r="A14" i="20"/>
  <c r="A13" i="20"/>
  <c r="A12" i="20"/>
  <c r="A11" i="20"/>
  <c r="A10" i="20"/>
  <c r="A9" i="20"/>
  <c r="A8" i="20"/>
  <c r="O18" i="19"/>
  <c r="N18" i="19"/>
  <c r="M18" i="19"/>
  <c r="L18" i="19"/>
  <c r="K18" i="19"/>
  <c r="J18" i="19"/>
  <c r="I18" i="19"/>
  <c r="H18" i="19"/>
  <c r="G18" i="19"/>
  <c r="F18" i="19"/>
  <c r="E18" i="19"/>
  <c r="D18" i="19"/>
  <c r="C18" i="19"/>
  <c r="B18" i="19"/>
  <c r="Q392" i="18"/>
  <c r="BS77" i="17"/>
  <c r="BR77" i="17"/>
  <c r="BQ77" i="17"/>
  <c r="BP77" i="17"/>
  <c r="BO77" i="17"/>
  <c r="BN77" i="17"/>
  <c r="BM77" i="17"/>
  <c r="BL77" i="17"/>
  <c r="BK77" i="17"/>
  <c r="BJ77" i="17"/>
  <c r="BI77" i="17"/>
  <c r="BH77" i="17"/>
  <c r="BG77" i="17"/>
  <c r="BF77" i="17"/>
  <c r="BE77" i="17"/>
  <c r="BD77" i="17"/>
  <c r="BC77" i="17"/>
  <c r="BB77" i="17"/>
  <c r="BA77" i="17"/>
  <c r="AZ77" i="17"/>
  <c r="AY77" i="17"/>
  <c r="AX77" i="17"/>
  <c r="AW77" i="17"/>
  <c r="AV77" i="17"/>
  <c r="AU77" i="17"/>
  <c r="AT77" i="17"/>
  <c r="AS77" i="17"/>
  <c r="AR77" i="17"/>
  <c r="AQ77" i="17"/>
  <c r="AP77" i="17"/>
  <c r="AO77" i="17"/>
  <c r="AN77" i="17"/>
  <c r="AM77" i="17"/>
  <c r="AL77" i="17"/>
  <c r="AK77" i="17"/>
  <c r="AJ77" i="17"/>
  <c r="AI77" i="17"/>
  <c r="AH77" i="17"/>
  <c r="AG77" i="17"/>
  <c r="AF77" i="17"/>
  <c r="AE77" i="17"/>
  <c r="AD77" i="17"/>
  <c r="AC77" i="17"/>
  <c r="AB77" i="17"/>
  <c r="AA77" i="17"/>
  <c r="Z77" i="17"/>
  <c r="Y77" i="17"/>
  <c r="X77" i="17"/>
  <c r="W77" i="17"/>
  <c r="V77" i="17"/>
  <c r="U77" i="17"/>
  <c r="T77" i="17"/>
  <c r="S77" i="17"/>
  <c r="R77" i="17"/>
  <c r="Q77" i="17"/>
  <c r="P77" i="17"/>
  <c r="O77" i="17"/>
  <c r="N77" i="17"/>
  <c r="M77" i="17"/>
  <c r="L77" i="17"/>
  <c r="K77" i="17"/>
  <c r="J77" i="17"/>
  <c r="I77" i="17"/>
  <c r="H77" i="17"/>
  <c r="G77" i="17"/>
  <c r="F77" i="17"/>
  <c r="E77" i="17"/>
  <c r="D77" i="17"/>
  <c r="C77" i="17"/>
  <c r="B77" i="17"/>
  <c r="YS60" i="17"/>
  <c r="YR60" i="17"/>
  <c r="YQ60" i="17"/>
  <c r="YP60" i="17"/>
  <c r="YO60" i="17"/>
  <c r="YN60" i="17"/>
  <c r="YM60" i="17"/>
  <c r="YL60" i="17"/>
  <c r="YK60" i="17"/>
  <c r="YJ60" i="17"/>
  <c r="YI60" i="17"/>
  <c r="YH60" i="17"/>
  <c r="YG60" i="17"/>
  <c r="YF60" i="17"/>
  <c r="YE60" i="17"/>
  <c r="YD60" i="17"/>
  <c r="YC60" i="17"/>
  <c r="YB60" i="17"/>
  <c r="YA60" i="17"/>
  <c r="XZ60" i="17"/>
  <c r="XY60" i="17"/>
  <c r="XX60" i="17"/>
  <c r="XW60" i="17"/>
  <c r="XV60" i="17"/>
  <c r="XU60" i="17"/>
  <c r="XT60" i="17"/>
  <c r="XS60" i="17"/>
  <c r="XR60" i="17"/>
  <c r="XQ60" i="17"/>
  <c r="XP60" i="17"/>
  <c r="XO60" i="17"/>
  <c r="XN60" i="17"/>
  <c r="XM60" i="17"/>
  <c r="XL60" i="17"/>
  <c r="XK60" i="17"/>
  <c r="XJ60" i="17"/>
  <c r="XI60" i="17"/>
  <c r="XH60" i="17"/>
  <c r="XG60" i="17"/>
  <c r="XF60" i="17"/>
  <c r="XE60" i="17"/>
  <c r="XD60" i="17"/>
  <c r="XC60" i="17"/>
  <c r="XB60" i="17"/>
  <c r="XA60" i="17"/>
  <c r="WZ60" i="17"/>
  <c r="WY60" i="17"/>
  <c r="WX60" i="17"/>
  <c r="WW60" i="17"/>
  <c r="WV60" i="17"/>
  <c r="WU60" i="17"/>
  <c r="WT60" i="17"/>
  <c r="WS60" i="17"/>
  <c r="WR60" i="17"/>
  <c r="WQ60" i="17"/>
  <c r="WP60" i="17"/>
  <c r="WO60" i="17"/>
  <c r="WN60" i="17"/>
  <c r="WM60" i="17"/>
  <c r="WL60" i="17"/>
  <c r="WK60" i="17"/>
  <c r="WJ60" i="17"/>
  <c r="WI60" i="17"/>
  <c r="WH60" i="17"/>
  <c r="WG60" i="17"/>
  <c r="WF60" i="17"/>
  <c r="WE60" i="17"/>
  <c r="WD60" i="17"/>
  <c r="WC60" i="17"/>
  <c r="WB60" i="17"/>
  <c r="WA60" i="17"/>
  <c r="VZ60" i="17"/>
  <c r="VY60" i="17"/>
  <c r="VX60" i="17"/>
  <c r="VW60" i="17"/>
  <c r="VV60" i="17"/>
  <c r="VU60" i="17"/>
  <c r="VT60" i="17"/>
  <c r="VS60" i="17"/>
  <c r="VR60" i="17"/>
  <c r="VQ60" i="17"/>
  <c r="VP60" i="17"/>
  <c r="VO60" i="17"/>
  <c r="VN60" i="17"/>
  <c r="VM60" i="17"/>
  <c r="VL60" i="17"/>
  <c r="VK60" i="17"/>
  <c r="VJ60" i="17"/>
  <c r="VI60" i="17"/>
  <c r="VH60" i="17"/>
  <c r="VG60" i="17"/>
  <c r="VF60" i="17"/>
  <c r="VE60" i="17"/>
  <c r="VD60" i="17"/>
  <c r="VC60" i="17"/>
  <c r="VB60" i="17"/>
  <c r="VA60" i="17"/>
  <c r="UZ60" i="17"/>
  <c r="UY60" i="17"/>
  <c r="UX60" i="17"/>
  <c r="UW60" i="17"/>
  <c r="UV60" i="17"/>
  <c r="UU60" i="17"/>
  <c r="UT60" i="17"/>
  <c r="US60" i="17"/>
  <c r="UR60" i="17"/>
  <c r="UQ60" i="17"/>
  <c r="UP60" i="17"/>
  <c r="UO60" i="17"/>
  <c r="UN60" i="17"/>
  <c r="UM60" i="17"/>
  <c r="UL60" i="17"/>
  <c r="UK60" i="17"/>
  <c r="UJ60" i="17"/>
  <c r="UI60" i="17"/>
  <c r="UH60" i="17"/>
  <c r="UG60" i="17"/>
  <c r="UF60" i="17"/>
  <c r="UE60" i="17"/>
  <c r="UD60" i="17"/>
  <c r="UC60" i="17"/>
  <c r="UB60" i="17"/>
  <c r="UA60" i="17"/>
  <c r="TZ60" i="17"/>
  <c r="TY60" i="17"/>
  <c r="TX60" i="17"/>
  <c r="TW60" i="17"/>
  <c r="TV60" i="17"/>
  <c r="TU60" i="17"/>
  <c r="TT60" i="17"/>
  <c r="TS60" i="17"/>
  <c r="TR60" i="17"/>
  <c r="TQ60" i="17"/>
  <c r="TP60" i="17"/>
  <c r="TO60" i="17"/>
  <c r="TN60" i="17"/>
  <c r="TM60" i="17"/>
  <c r="TL60" i="17"/>
  <c r="TK60" i="17"/>
  <c r="TJ60" i="17"/>
  <c r="TI60" i="17"/>
  <c r="TH60" i="17"/>
  <c r="TG60" i="17"/>
  <c r="TF60" i="17"/>
  <c r="TE60" i="17"/>
  <c r="TD60" i="17"/>
  <c r="TC60" i="17"/>
  <c r="TB60" i="17"/>
  <c r="TA60" i="17"/>
  <c r="SZ60" i="17"/>
  <c r="JG60" i="17"/>
  <c r="JD60" i="17"/>
  <c r="JC60" i="17"/>
  <c r="JB60" i="17"/>
  <c r="JA60" i="17"/>
  <c r="IZ60" i="17"/>
  <c r="IY60" i="17"/>
  <c r="IX60" i="17"/>
  <c r="IW60" i="17"/>
  <c r="IV60" i="17"/>
  <c r="IU60" i="17"/>
  <c r="IT60" i="17"/>
  <c r="IN60" i="17"/>
  <c r="IM60" i="17"/>
  <c r="IL60" i="17"/>
  <c r="IK60" i="17"/>
  <c r="IJ60" i="17"/>
  <c r="II60" i="17"/>
  <c r="IH60" i="17"/>
  <c r="IG60" i="17"/>
  <c r="IF60" i="17"/>
  <c r="IE60" i="17"/>
  <c r="ID60" i="17"/>
  <c r="IC60" i="17"/>
  <c r="IB60" i="17"/>
  <c r="IA60" i="17"/>
  <c r="HZ60" i="17"/>
  <c r="HY60" i="17"/>
  <c r="HX60" i="17"/>
  <c r="HW60" i="17"/>
  <c r="HV60" i="17"/>
  <c r="HU60" i="17"/>
  <c r="HT60" i="17"/>
  <c r="HS60" i="17"/>
  <c r="HR60" i="17"/>
  <c r="HQ60" i="17"/>
  <c r="HP60" i="17"/>
  <c r="HO60" i="17"/>
  <c r="HN60" i="17"/>
  <c r="HM60" i="17"/>
  <c r="HL60" i="17"/>
  <c r="HK60" i="17"/>
  <c r="HJ60" i="17"/>
  <c r="HI60" i="17"/>
  <c r="HH60" i="17"/>
  <c r="HG60" i="17"/>
  <c r="HF60" i="17"/>
  <c r="HE60" i="17"/>
  <c r="HD60" i="17"/>
  <c r="HC60" i="17"/>
  <c r="HB60" i="17"/>
  <c r="HA60" i="17"/>
  <c r="GZ60" i="17"/>
  <c r="GY60" i="17"/>
  <c r="GX60" i="17"/>
  <c r="GW60" i="17"/>
  <c r="GV60" i="17"/>
  <c r="GU60" i="17"/>
  <c r="GT60" i="17"/>
  <c r="GS60" i="17"/>
  <c r="GR60" i="17"/>
  <c r="GQ60" i="17"/>
  <c r="GP60" i="17"/>
  <c r="GO60" i="17"/>
  <c r="GN60" i="17"/>
  <c r="GM60" i="17"/>
  <c r="GL60" i="17"/>
  <c r="GK60" i="17"/>
  <c r="GJ60" i="17"/>
  <c r="GI60" i="17"/>
  <c r="GH60" i="17"/>
  <c r="GG60" i="17"/>
  <c r="GF60" i="17"/>
  <c r="GE60" i="17"/>
  <c r="GD60" i="17"/>
  <c r="GC60" i="17"/>
  <c r="GB60" i="17"/>
  <c r="GA60" i="17"/>
  <c r="FZ60" i="17"/>
  <c r="FY60" i="17"/>
  <c r="FX60" i="17"/>
  <c r="FW60" i="17"/>
  <c r="FV60" i="17"/>
  <c r="FU60" i="17"/>
  <c r="FT60" i="17"/>
  <c r="FS60" i="17"/>
  <c r="FR60" i="17"/>
  <c r="FQ60" i="17"/>
  <c r="FP60" i="17"/>
  <c r="FO60" i="17"/>
  <c r="FN60" i="17"/>
  <c r="FM60" i="17"/>
  <c r="FL60" i="17"/>
  <c r="FK60" i="17"/>
  <c r="FJ60" i="17"/>
  <c r="FI60" i="17"/>
  <c r="FH60" i="17"/>
  <c r="FG60" i="17"/>
  <c r="FF60" i="17"/>
  <c r="FE60" i="17"/>
  <c r="FD60" i="17"/>
  <c r="FC60" i="17"/>
  <c r="FB60" i="17"/>
  <c r="FA60" i="17"/>
  <c r="EZ60" i="17"/>
  <c r="EY60" i="17"/>
  <c r="EX60" i="17"/>
  <c r="EW60" i="17"/>
  <c r="EV60" i="17"/>
  <c r="EU60" i="17"/>
  <c r="ET60" i="17"/>
  <c r="ES60" i="17"/>
  <c r="ER60" i="17"/>
  <c r="EQ60" i="17"/>
  <c r="EP60" i="17"/>
  <c r="EO60" i="17"/>
  <c r="EN60" i="17"/>
  <c r="EM60" i="17"/>
  <c r="EL60" i="17"/>
  <c r="EK60" i="17"/>
  <c r="EJ60" i="17"/>
  <c r="EI60" i="17"/>
  <c r="EH60" i="17"/>
  <c r="EG60" i="17"/>
  <c r="EF60" i="17"/>
  <c r="EE60" i="17"/>
  <c r="ED60" i="17"/>
  <c r="EC60" i="17"/>
  <c r="EB60" i="17"/>
  <c r="EA60" i="17"/>
  <c r="DZ60" i="17"/>
  <c r="DY60" i="17"/>
  <c r="DX60" i="17"/>
  <c r="DW60" i="17"/>
  <c r="DV60" i="17"/>
  <c r="DU60" i="17"/>
  <c r="DT60" i="17"/>
  <c r="DS60" i="17"/>
  <c r="DR60" i="17"/>
  <c r="DQ60" i="17"/>
  <c r="DP60" i="17"/>
  <c r="DO60" i="17"/>
  <c r="DN60" i="17"/>
  <c r="DM60" i="17"/>
  <c r="DL60" i="17"/>
  <c r="DK60" i="17"/>
  <c r="DJ60" i="17"/>
  <c r="DI60" i="17"/>
  <c r="DH60" i="17"/>
  <c r="DG60" i="17"/>
  <c r="DF60" i="17"/>
  <c r="DE60" i="17"/>
  <c r="DD60" i="17"/>
  <c r="DC60" i="17"/>
  <c r="DB60" i="17"/>
  <c r="DA60" i="17"/>
  <c r="CZ60" i="17"/>
  <c r="CY60" i="17"/>
  <c r="CX60" i="17"/>
  <c r="CW60" i="17"/>
  <c r="CV60" i="17"/>
  <c r="CU60" i="17"/>
  <c r="CT60" i="17"/>
  <c r="CS60" i="17"/>
  <c r="CR60" i="17"/>
  <c r="CQ60" i="17"/>
  <c r="CP60" i="17"/>
  <c r="CO60" i="17"/>
  <c r="CN60" i="17"/>
  <c r="CM60" i="17"/>
  <c r="CL60" i="17"/>
  <c r="CK60" i="17"/>
  <c r="CJ60" i="17"/>
  <c r="CI60" i="17"/>
  <c r="CH60" i="17"/>
  <c r="CG60" i="17"/>
  <c r="CF60" i="17"/>
  <c r="CE60" i="17"/>
  <c r="CD60" i="17"/>
  <c r="CC60" i="17"/>
  <c r="CB60" i="17"/>
  <c r="CA60" i="17"/>
  <c r="BZ60" i="17"/>
  <c r="BY60" i="17"/>
  <c r="BX60" i="17"/>
  <c r="BW60" i="17"/>
  <c r="BV60" i="17"/>
  <c r="BU60" i="17"/>
  <c r="BT60" i="17"/>
  <c r="BS60" i="17"/>
  <c r="BR60" i="17"/>
  <c r="BQ60" i="17"/>
  <c r="BP60" i="17"/>
  <c r="BO60" i="17"/>
  <c r="BN60" i="17"/>
  <c r="BM60" i="17"/>
  <c r="BL60" i="17"/>
  <c r="BK60" i="17"/>
  <c r="BJ60" i="17"/>
  <c r="BI60" i="17"/>
  <c r="BH60" i="17"/>
  <c r="BG60" i="17"/>
  <c r="BF60" i="17"/>
  <c r="BE60" i="17"/>
  <c r="BD60" i="17"/>
  <c r="BC60" i="17"/>
  <c r="BB60" i="17"/>
  <c r="BA60" i="17"/>
  <c r="AZ60" i="17"/>
  <c r="AY60" i="17"/>
  <c r="AX60" i="17"/>
  <c r="AW60" i="17"/>
  <c r="AV60" i="17"/>
  <c r="AU60" i="17"/>
  <c r="AT60" i="17"/>
  <c r="AS60" i="17"/>
  <c r="AR60" i="17"/>
  <c r="AQ60" i="17"/>
  <c r="AP60" i="17"/>
  <c r="AO60" i="17"/>
  <c r="AN60" i="17"/>
  <c r="AM60" i="17"/>
  <c r="AL60" i="17"/>
  <c r="AK60" i="17"/>
  <c r="AJ60" i="17"/>
  <c r="AI60" i="17"/>
  <c r="AH60" i="17"/>
  <c r="AG60" i="17"/>
  <c r="AF60" i="17"/>
  <c r="AE60" i="17"/>
  <c r="AD60" i="17"/>
  <c r="AC60" i="17"/>
  <c r="AB60" i="17"/>
  <c r="AA60" i="17"/>
  <c r="Z60" i="17"/>
  <c r="Y60" i="17"/>
  <c r="X60" i="17"/>
  <c r="W60" i="17"/>
  <c r="V60" i="17"/>
  <c r="U60" i="17"/>
  <c r="T60" i="17"/>
  <c r="S60" i="17"/>
  <c r="R60" i="17"/>
  <c r="Q60" i="17"/>
  <c r="P60" i="17"/>
  <c r="O60" i="17"/>
  <c r="N60" i="17"/>
  <c r="M60" i="17"/>
  <c r="L60" i="17"/>
  <c r="K60" i="17"/>
  <c r="J60" i="17"/>
  <c r="I60" i="17"/>
  <c r="H60" i="17"/>
  <c r="G60" i="17"/>
  <c r="F60" i="17"/>
  <c r="E60" i="17"/>
  <c r="D60" i="17"/>
  <c r="C60" i="17"/>
  <c r="B60" i="17"/>
  <c r="YS59" i="17"/>
  <c r="YR59" i="17"/>
  <c r="YQ59" i="17"/>
  <c r="YP59" i="17"/>
  <c r="YO59" i="17"/>
  <c r="YN59" i="17"/>
  <c r="YM59" i="17"/>
  <c r="YL59" i="17"/>
  <c r="YK59" i="17"/>
  <c r="YJ59" i="17"/>
  <c r="YI59" i="17"/>
  <c r="YH59" i="17"/>
  <c r="YG59" i="17"/>
  <c r="YF59" i="17"/>
  <c r="YE59" i="17"/>
  <c r="YD59" i="17"/>
  <c r="YC59" i="17"/>
  <c r="YB59" i="17"/>
  <c r="YA59" i="17"/>
  <c r="XZ59" i="17"/>
  <c r="XY59" i="17"/>
  <c r="XX59" i="17"/>
  <c r="XW59" i="17"/>
  <c r="XV59" i="17"/>
  <c r="XU59" i="17"/>
  <c r="XT59" i="17"/>
  <c r="XS59" i="17"/>
  <c r="XR59" i="17"/>
  <c r="XQ59" i="17"/>
  <c r="XP59" i="17"/>
  <c r="XO59" i="17"/>
  <c r="XN59" i="17"/>
  <c r="XM59" i="17"/>
  <c r="XL59" i="17"/>
  <c r="XK59" i="17"/>
  <c r="XJ59" i="17"/>
  <c r="XI59" i="17"/>
  <c r="XH59" i="17"/>
  <c r="XG59" i="17"/>
  <c r="XF59" i="17"/>
  <c r="XE59" i="17"/>
  <c r="XD59" i="17"/>
  <c r="XC59" i="17"/>
  <c r="XB59" i="17"/>
  <c r="XA59" i="17"/>
  <c r="WZ59" i="17"/>
  <c r="WY59" i="17"/>
  <c r="WX59" i="17"/>
  <c r="WW59" i="17"/>
  <c r="WV59" i="17"/>
  <c r="WU59" i="17"/>
  <c r="WT59" i="17"/>
  <c r="WS59" i="17"/>
  <c r="WR59" i="17"/>
  <c r="WQ59" i="17"/>
  <c r="WP59" i="17"/>
  <c r="WO59" i="17"/>
  <c r="WN59" i="17"/>
  <c r="WM59" i="17"/>
  <c r="WL59" i="17"/>
  <c r="WK59" i="17"/>
  <c r="WJ59" i="17"/>
  <c r="WI59" i="17"/>
  <c r="WH59" i="17"/>
  <c r="WG59" i="17"/>
  <c r="WF59" i="17"/>
  <c r="WE59" i="17"/>
  <c r="WD59" i="17"/>
  <c r="WC59" i="17"/>
  <c r="WB59" i="17"/>
  <c r="WA59" i="17"/>
  <c r="VZ59" i="17"/>
  <c r="VY59" i="17"/>
  <c r="VX59" i="17"/>
  <c r="VW59" i="17"/>
  <c r="VV59" i="17"/>
  <c r="VU59" i="17"/>
  <c r="VT59" i="17"/>
  <c r="VS59" i="17"/>
  <c r="VR59" i="17"/>
  <c r="VQ59" i="17"/>
  <c r="VP59" i="17"/>
  <c r="VO59" i="17"/>
  <c r="VN59" i="17"/>
  <c r="VM59" i="17"/>
  <c r="VL59" i="17"/>
  <c r="VK59" i="17"/>
  <c r="VJ59" i="17"/>
  <c r="VI59" i="17"/>
  <c r="VH59" i="17"/>
  <c r="VG59" i="17"/>
  <c r="VF59" i="17"/>
  <c r="VE59" i="17"/>
  <c r="VD59" i="17"/>
  <c r="VC59" i="17"/>
  <c r="VB59" i="17"/>
  <c r="VA59" i="17"/>
  <c r="UZ59" i="17"/>
  <c r="UY59" i="17"/>
  <c r="UX59" i="17"/>
  <c r="UW59" i="17"/>
  <c r="UV59" i="17"/>
  <c r="UU59" i="17"/>
  <c r="UT59" i="17"/>
  <c r="US59" i="17"/>
  <c r="UR59" i="17"/>
  <c r="UQ59" i="17"/>
  <c r="UP59" i="17"/>
  <c r="UO59" i="17"/>
  <c r="UN59" i="17"/>
  <c r="UM59" i="17"/>
  <c r="UL59" i="17"/>
  <c r="UK59" i="17"/>
  <c r="UJ59" i="17"/>
  <c r="UI59" i="17"/>
  <c r="UH59" i="17"/>
  <c r="UG59" i="17"/>
  <c r="UF59" i="17"/>
  <c r="UE59" i="17"/>
  <c r="UD59" i="17"/>
  <c r="UC59" i="17"/>
  <c r="UB59" i="17"/>
  <c r="UA59" i="17"/>
  <c r="TZ59" i="17"/>
  <c r="TY59" i="17"/>
  <c r="TX59" i="17"/>
  <c r="TW59" i="17"/>
  <c r="TV59" i="17"/>
  <c r="TU59" i="17"/>
  <c r="TT59" i="17"/>
  <c r="TS59" i="17"/>
  <c r="TR59" i="17"/>
  <c r="TQ59" i="17"/>
  <c r="TP59" i="17"/>
  <c r="TO59" i="17"/>
  <c r="TN59" i="17"/>
  <c r="TM59" i="17"/>
  <c r="TL59" i="17"/>
  <c r="TK59" i="17"/>
  <c r="TJ59" i="17"/>
  <c r="TI59" i="17"/>
  <c r="TH59" i="17"/>
  <c r="TG59" i="17"/>
  <c r="TF59" i="17"/>
  <c r="TE59" i="17"/>
  <c r="TD59" i="17"/>
  <c r="TC59" i="17"/>
  <c r="TB59" i="17"/>
  <c r="TA59" i="17"/>
  <c r="SZ59" i="17"/>
  <c r="JG59" i="17"/>
  <c r="JD59" i="17"/>
  <c r="JC59" i="17"/>
  <c r="JB59" i="17"/>
  <c r="JA59" i="17"/>
  <c r="IZ59" i="17"/>
  <c r="IY59" i="17"/>
  <c r="IX59" i="17"/>
  <c r="IW59" i="17"/>
  <c r="IV59" i="17"/>
  <c r="IU59" i="17"/>
  <c r="IT59" i="17"/>
  <c r="IS59" i="17"/>
  <c r="IR59" i="17"/>
  <c r="IQ59" i="17"/>
  <c r="IP59" i="17"/>
  <c r="IO59" i="17"/>
  <c r="IN59" i="17"/>
  <c r="IM59" i="17"/>
  <c r="IL59" i="17"/>
  <c r="IK59" i="17"/>
  <c r="IJ59" i="17"/>
  <c r="II59" i="17"/>
  <c r="IH59" i="17"/>
  <c r="IG59" i="17"/>
  <c r="IF59" i="17"/>
  <c r="IE59" i="17"/>
  <c r="ID59" i="17"/>
  <c r="IC59" i="17"/>
  <c r="IB59" i="17"/>
  <c r="IA59" i="17"/>
  <c r="HZ59" i="17"/>
  <c r="HY59" i="17"/>
  <c r="HX59" i="17"/>
  <c r="HW59" i="17"/>
  <c r="HV59" i="17"/>
  <c r="HU59" i="17"/>
  <c r="HT59" i="17"/>
  <c r="HS59" i="17"/>
  <c r="HR59" i="17"/>
  <c r="HQ59" i="17"/>
  <c r="HP59" i="17"/>
  <c r="HO59" i="17"/>
  <c r="HN59" i="17"/>
  <c r="HM59" i="17"/>
  <c r="HL59" i="17"/>
  <c r="HK59" i="17"/>
  <c r="HJ59" i="17"/>
  <c r="HI59" i="17"/>
  <c r="HH59" i="17"/>
  <c r="HG59" i="17"/>
  <c r="HF59" i="17"/>
  <c r="HE59" i="17"/>
  <c r="HD59" i="17"/>
  <c r="HC59" i="17"/>
  <c r="HB59" i="17"/>
  <c r="HA59" i="17"/>
  <c r="GZ59" i="17"/>
  <c r="GY59" i="17"/>
  <c r="GX59" i="17"/>
  <c r="GW59" i="17"/>
  <c r="GV59" i="17"/>
  <c r="GU59" i="17"/>
  <c r="GT59" i="17"/>
  <c r="GS59" i="17"/>
  <c r="GR59" i="17"/>
  <c r="GQ59" i="17"/>
  <c r="GP59" i="17"/>
  <c r="GO59" i="17"/>
  <c r="GN59" i="17"/>
  <c r="GM59" i="17"/>
  <c r="GL59" i="17"/>
  <c r="GK59" i="17"/>
  <c r="GJ59" i="17"/>
  <c r="GI59" i="17"/>
  <c r="GH59" i="17"/>
  <c r="GG59" i="17"/>
  <c r="GF59" i="17"/>
  <c r="GE59" i="17"/>
  <c r="GD59" i="17"/>
  <c r="GC59" i="17"/>
  <c r="GB59" i="17"/>
  <c r="GA59" i="17"/>
  <c r="FZ59" i="17"/>
  <c r="FY59" i="17"/>
  <c r="FX59" i="17"/>
  <c r="FW59" i="17"/>
  <c r="FV59" i="17"/>
  <c r="FU59" i="17"/>
  <c r="FT59" i="17"/>
  <c r="FS59" i="17"/>
  <c r="FR59" i="17"/>
  <c r="FQ59" i="17"/>
  <c r="FP59" i="17"/>
  <c r="FO59" i="17"/>
  <c r="FN59" i="17"/>
  <c r="FM59" i="17"/>
  <c r="FL59" i="17"/>
  <c r="FK59" i="17"/>
  <c r="FJ59" i="17"/>
  <c r="FI59" i="17"/>
  <c r="FH59" i="17"/>
  <c r="FG59" i="17"/>
  <c r="FF59" i="17"/>
  <c r="FE59" i="17"/>
  <c r="FD59" i="17"/>
  <c r="FC59" i="17"/>
  <c r="FB59" i="17"/>
  <c r="FA59" i="17"/>
  <c r="EZ59" i="17"/>
  <c r="EY59" i="17"/>
  <c r="EX59" i="17"/>
  <c r="EW59" i="17"/>
  <c r="EV59" i="17"/>
  <c r="EU59" i="17"/>
  <c r="ET59" i="17"/>
  <c r="ES59" i="17"/>
  <c r="ER59" i="17"/>
  <c r="EQ59" i="17"/>
  <c r="EP59" i="17"/>
  <c r="EO59" i="17"/>
  <c r="EN59" i="17"/>
  <c r="EM59" i="17"/>
  <c r="EL59" i="17"/>
  <c r="EK59" i="17"/>
  <c r="EJ59" i="17"/>
  <c r="EI59" i="17"/>
  <c r="EH59" i="17"/>
  <c r="EG59" i="17"/>
  <c r="EF59" i="17"/>
  <c r="EE59" i="17"/>
  <c r="ED59" i="17"/>
  <c r="EC59" i="17"/>
  <c r="EB59" i="17"/>
  <c r="EA59" i="17"/>
  <c r="DZ59" i="17"/>
  <c r="DY59" i="17"/>
  <c r="DX59" i="17"/>
  <c r="DW59" i="17"/>
  <c r="DV59" i="17"/>
  <c r="DU59" i="17"/>
  <c r="DT59" i="17"/>
  <c r="DS59" i="17"/>
  <c r="DR59" i="17"/>
  <c r="DQ59" i="17"/>
  <c r="DP59" i="17"/>
  <c r="DO59" i="17"/>
  <c r="DN59" i="17"/>
  <c r="DM59" i="17"/>
  <c r="DL59" i="17"/>
  <c r="DK59" i="17"/>
  <c r="DJ59" i="17"/>
  <c r="DI59" i="17"/>
  <c r="DH59" i="17"/>
  <c r="DG59" i="17"/>
  <c r="DF59" i="17"/>
  <c r="DE59" i="17"/>
  <c r="DD59" i="17"/>
  <c r="DC59" i="17"/>
  <c r="DB59" i="17"/>
  <c r="DA59" i="17"/>
  <c r="CZ59" i="17"/>
  <c r="CY59" i="17"/>
  <c r="CX59" i="17"/>
  <c r="CW59" i="17"/>
  <c r="CV59" i="17"/>
  <c r="CU59" i="17"/>
  <c r="CT59" i="17"/>
  <c r="CS59" i="17"/>
  <c r="CR59" i="17"/>
  <c r="CQ59" i="17"/>
  <c r="CP59" i="17"/>
  <c r="CO59" i="17"/>
  <c r="CN59" i="17"/>
  <c r="CM59" i="17"/>
  <c r="CL59" i="17"/>
  <c r="CK59" i="17"/>
  <c r="CJ59" i="17"/>
  <c r="CI59" i="17"/>
  <c r="CH59" i="17"/>
  <c r="CG59" i="17"/>
  <c r="CF59" i="17"/>
  <c r="CE59" i="17"/>
  <c r="CD59" i="17"/>
  <c r="CC59" i="17"/>
  <c r="CB59" i="17"/>
  <c r="CA59" i="17"/>
  <c r="BZ59" i="17"/>
  <c r="BY59" i="17"/>
  <c r="BX59" i="17"/>
  <c r="BW59" i="17"/>
  <c r="BV59" i="17"/>
  <c r="BU59" i="17"/>
  <c r="BT59" i="17"/>
  <c r="BS59" i="17"/>
  <c r="BR59" i="17"/>
  <c r="BQ59" i="17"/>
  <c r="BP59" i="17"/>
  <c r="BO59" i="17"/>
  <c r="BN59" i="17"/>
  <c r="BM59" i="17"/>
  <c r="BL59" i="17"/>
  <c r="BK59" i="17"/>
  <c r="BJ59" i="17"/>
  <c r="BI59" i="17"/>
  <c r="BH59" i="17"/>
  <c r="BG59" i="17"/>
  <c r="BF59" i="17"/>
  <c r="BE59" i="17"/>
  <c r="BD59" i="17"/>
  <c r="BC59" i="17"/>
  <c r="BB59" i="17"/>
  <c r="BA59" i="17"/>
  <c r="AZ59" i="17"/>
  <c r="AY59" i="17"/>
  <c r="AX59" i="17"/>
  <c r="AW59" i="17"/>
  <c r="AV59" i="17"/>
  <c r="AU59" i="17"/>
  <c r="AT59" i="17"/>
  <c r="AS59" i="17"/>
  <c r="AR59" i="17"/>
  <c r="AQ59" i="17"/>
  <c r="AP59" i="17"/>
  <c r="AO59" i="17"/>
  <c r="AN59" i="17"/>
  <c r="AM59" i="17"/>
  <c r="AL59" i="17"/>
  <c r="AK59" i="17"/>
  <c r="AJ59" i="17"/>
  <c r="AI59" i="17"/>
  <c r="AH59" i="17"/>
  <c r="AG59" i="17"/>
  <c r="AF59" i="17"/>
  <c r="AE59" i="17"/>
  <c r="AD59" i="17"/>
  <c r="AC59" i="17"/>
  <c r="AB59" i="17"/>
  <c r="AA59" i="17"/>
  <c r="Z59" i="17"/>
  <c r="Y59" i="17"/>
  <c r="X59" i="17"/>
  <c r="W59" i="17"/>
  <c r="V59" i="17"/>
  <c r="U59" i="17"/>
  <c r="T59" i="17"/>
  <c r="S59" i="17"/>
  <c r="R59" i="17"/>
  <c r="Q59" i="17"/>
  <c r="P59" i="17"/>
  <c r="O59" i="17"/>
  <c r="N59" i="17"/>
  <c r="M59" i="17"/>
  <c r="L59" i="17"/>
  <c r="K59" i="17"/>
  <c r="J59" i="17"/>
  <c r="I59" i="17"/>
  <c r="H59" i="17"/>
  <c r="G59" i="17"/>
  <c r="F59" i="17"/>
  <c r="E59" i="17"/>
  <c r="D59" i="17"/>
  <c r="C59" i="17"/>
  <c r="B59" i="17"/>
  <c r="X51" i="16"/>
  <c r="BC2" i="16"/>
  <c r="BB2" i="16"/>
  <c r="BA2" i="16"/>
  <c r="AZ2" i="16"/>
  <c r="AY2" i="16"/>
  <c r="AX2" i="16"/>
  <c r="AW2" i="16"/>
  <c r="AV2" i="16"/>
  <c r="AU2" i="16"/>
  <c r="AT2" i="16"/>
  <c r="AS2" i="16"/>
  <c r="AR2" i="16"/>
  <c r="AQ2" i="16"/>
  <c r="AP2" i="16"/>
  <c r="AO2" i="16"/>
  <c r="AN2" i="16"/>
  <c r="AM2" i="16"/>
  <c r="AL2" i="16"/>
  <c r="AK2" i="16"/>
  <c r="AJ2" i="16"/>
  <c r="AI2" i="16"/>
  <c r="AH2" i="16"/>
  <c r="AG2" i="16"/>
  <c r="AF2" i="16"/>
  <c r="AE2" i="16"/>
  <c r="AD2" i="16"/>
  <c r="AC2" i="16"/>
  <c r="AB2" i="16"/>
  <c r="AA2" i="16"/>
  <c r="Z2" i="16"/>
  <c r="Y2" i="16"/>
  <c r="X2" i="16"/>
  <c r="W2" i="16"/>
  <c r="P101" i="16" s="1"/>
  <c r="V2" i="16"/>
  <c r="U2" i="16"/>
  <c r="T2" i="16"/>
  <c r="S2" i="16"/>
  <c r="R2" i="16"/>
  <c r="Q2" i="16"/>
  <c r="P2" i="16"/>
  <c r="O2" i="16"/>
  <c r="N2" i="16"/>
  <c r="M2" i="16"/>
  <c r="L2" i="16"/>
  <c r="K2" i="16"/>
  <c r="J2" i="16"/>
  <c r="I2" i="16"/>
  <c r="H2" i="16"/>
  <c r="G2" i="16"/>
  <c r="F2" i="16"/>
  <c r="E2" i="16"/>
  <c r="D2" i="16"/>
  <c r="C2" i="16"/>
  <c r="B2" i="16"/>
  <c r="V102" i="15"/>
  <c r="U102" i="15"/>
  <c r="T102" i="15"/>
  <c r="S102" i="15"/>
  <c r="R102" i="15"/>
  <c r="Q102" i="15"/>
  <c r="P102" i="15"/>
  <c r="O102" i="15"/>
  <c r="N102" i="15"/>
  <c r="M102" i="15"/>
  <c r="X52" i="15"/>
  <c r="AP37" i="14"/>
  <c r="AP36" i="14"/>
  <c r="AP35" i="14"/>
  <c r="AP34" i="14"/>
  <c r="AP33" i="14"/>
  <c r="AP31" i="14"/>
  <c r="AP30" i="14"/>
  <c r="AP29" i="14"/>
  <c r="AP28" i="14"/>
  <c r="A3" i="14"/>
  <c r="A2" i="14" s="1"/>
  <c r="B277" i="12"/>
  <c r="A277" i="12"/>
  <c r="C277" i="12" s="1"/>
  <c r="B276" i="12"/>
  <c r="A276" i="12"/>
  <c r="C275" i="12"/>
  <c r="B275" i="12"/>
  <c r="A275" i="12"/>
  <c r="B274" i="12"/>
  <c r="C274" i="12" s="1"/>
  <c r="A274" i="12"/>
  <c r="C273" i="12"/>
  <c r="B273" i="12"/>
  <c r="A273" i="12"/>
  <c r="B272" i="12"/>
  <c r="A272" i="12"/>
  <c r="C272" i="12" s="1"/>
  <c r="B271" i="12"/>
  <c r="A271" i="12"/>
  <c r="C271" i="12" s="1"/>
  <c r="B270" i="12"/>
  <c r="C270" i="12" s="1"/>
  <c r="A270" i="12"/>
  <c r="B269" i="12"/>
  <c r="A269" i="12"/>
  <c r="B268" i="12"/>
  <c r="A268" i="12"/>
  <c r="C267" i="12"/>
  <c r="B267" i="12"/>
  <c r="A267" i="12"/>
  <c r="B266" i="12"/>
  <c r="C266" i="12" s="1"/>
  <c r="A266" i="12"/>
  <c r="B265" i="12"/>
  <c r="A265" i="12"/>
  <c r="C265" i="12" s="1"/>
  <c r="B264" i="12"/>
  <c r="A264" i="12"/>
  <c r="C264" i="12" s="1"/>
  <c r="B263" i="12"/>
  <c r="A263" i="12"/>
  <c r="C263" i="12" s="1"/>
  <c r="B262" i="12"/>
  <c r="C262" i="12" s="1"/>
  <c r="A262" i="12"/>
  <c r="B261" i="12"/>
  <c r="A261" i="12"/>
  <c r="B260" i="12"/>
  <c r="A260" i="12"/>
  <c r="C259" i="12"/>
  <c r="B259" i="12"/>
  <c r="A259" i="12"/>
  <c r="B258" i="12"/>
  <c r="C258" i="12" s="1"/>
  <c r="A258" i="12"/>
  <c r="C257" i="12"/>
  <c r="B257" i="12"/>
  <c r="A257" i="12"/>
  <c r="B256" i="12"/>
  <c r="A256" i="12"/>
  <c r="C256" i="12" s="1"/>
  <c r="B255" i="12"/>
  <c r="A255" i="12"/>
  <c r="C255" i="12" s="1"/>
  <c r="B254" i="12"/>
  <c r="C254" i="12" s="1"/>
  <c r="A254" i="12"/>
  <c r="B253" i="12"/>
  <c r="A253" i="12"/>
  <c r="B252" i="12"/>
  <c r="A252" i="12"/>
  <c r="C251" i="12"/>
  <c r="B251" i="12"/>
  <c r="A251" i="12"/>
  <c r="B250" i="12"/>
  <c r="C250" i="12" s="1"/>
  <c r="A250" i="12"/>
  <c r="B249" i="12"/>
  <c r="A249" i="12"/>
  <c r="C249" i="12" s="1"/>
  <c r="B248" i="12"/>
  <c r="A248" i="12"/>
  <c r="C248" i="12" s="1"/>
  <c r="B247" i="12"/>
  <c r="A247" i="12"/>
  <c r="C247" i="12" s="1"/>
  <c r="B246" i="12"/>
  <c r="C246" i="12" s="1"/>
  <c r="A246" i="12"/>
  <c r="B245" i="12"/>
  <c r="A245" i="12"/>
  <c r="C245" i="12" s="1"/>
  <c r="B244" i="12"/>
  <c r="A244" i="12"/>
  <c r="C243" i="12"/>
  <c r="B243" i="12"/>
  <c r="A243" i="12"/>
  <c r="B242" i="12"/>
  <c r="C242" i="12" s="1"/>
  <c r="A242" i="12"/>
  <c r="C241" i="12"/>
  <c r="B241" i="12"/>
  <c r="A241" i="12"/>
  <c r="B240" i="12"/>
  <c r="A240" i="12"/>
  <c r="C240" i="12" s="1"/>
  <c r="B239" i="12"/>
  <c r="A239" i="12"/>
  <c r="C239" i="12" s="1"/>
  <c r="B238" i="12"/>
  <c r="C238" i="12" s="1"/>
  <c r="A238" i="12"/>
  <c r="B237" i="12"/>
  <c r="A237" i="12"/>
  <c r="B236" i="12"/>
  <c r="A236" i="12"/>
  <c r="C235" i="12"/>
  <c r="B235" i="12"/>
  <c r="A235" i="12"/>
  <c r="B234" i="12"/>
  <c r="C234" i="12" s="1"/>
  <c r="A234" i="12"/>
  <c r="B233" i="12"/>
  <c r="A233" i="12"/>
  <c r="C233" i="12" s="1"/>
  <c r="B232" i="12"/>
  <c r="A232" i="12"/>
  <c r="C232" i="12" s="1"/>
  <c r="B231" i="12"/>
  <c r="A231" i="12"/>
  <c r="C231" i="12" s="1"/>
  <c r="B230" i="12"/>
  <c r="C230" i="12" s="1"/>
  <c r="A230" i="12"/>
  <c r="B229" i="12"/>
  <c r="A229" i="12"/>
  <c r="B228" i="12"/>
  <c r="A228" i="12"/>
  <c r="C227" i="12"/>
  <c r="B227" i="12"/>
  <c r="A227" i="12"/>
  <c r="B226" i="12"/>
  <c r="C226" i="12" s="1"/>
  <c r="A226" i="12"/>
  <c r="C225" i="12"/>
  <c r="B225" i="12"/>
  <c r="A225" i="12"/>
  <c r="B224" i="12"/>
  <c r="A224" i="12"/>
  <c r="C224" i="12" s="1"/>
  <c r="B223" i="12"/>
  <c r="A223" i="12"/>
  <c r="C223" i="12" s="1"/>
  <c r="B222" i="12"/>
  <c r="C222" i="12" s="1"/>
  <c r="A222" i="12"/>
  <c r="B221" i="12"/>
  <c r="A221" i="12"/>
  <c r="B220" i="12"/>
  <c r="A220" i="12"/>
  <c r="C219" i="12"/>
  <c r="B219" i="12"/>
  <c r="A219" i="12"/>
  <c r="B218" i="12"/>
  <c r="C218" i="12" s="1"/>
  <c r="A218" i="12"/>
  <c r="B217" i="12"/>
  <c r="A217" i="12"/>
  <c r="C217" i="12" s="1"/>
  <c r="B216" i="12"/>
  <c r="A216" i="12"/>
  <c r="C216" i="12" s="1"/>
  <c r="B215" i="12"/>
  <c r="A215" i="12"/>
  <c r="C215" i="12" s="1"/>
  <c r="B214" i="12"/>
  <c r="C214" i="12" s="1"/>
  <c r="A214" i="12"/>
  <c r="B213" i="12"/>
  <c r="A213" i="12"/>
  <c r="C213" i="12" s="1"/>
  <c r="B212" i="12"/>
  <c r="A212" i="12"/>
  <c r="C211" i="12"/>
  <c r="B211" i="12"/>
  <c r="A211" i="12"/>
  <c r="B210" i="12"/>
  <c r="C210" i="12" s="1"/>
  <c r="A210" i="12"/>
  <c r="C209" i="12"/>
  <c r="B209" i="12"/>
  <c r="A209" i="12"/>
  <c r="B208" i="12"/>
  <c r="A208" i="12"/>
  <c r="C208" i="12" s="1"/>
  <c r="B207" i="12"/>
  <c r="A207" i="12"/>
  <c r="C207" i="12" s="1"/>
  <c r="B206" i="12"/>
  <c r="C206" i="12" s="1"/>
  <c r="A206" i="12"/>
  <c r="B205" i="12"/>
  <c r="A205" i="12"/>
  <c r="B204" i="12"/>
  <c r="A204" i="12"/>
  <c r="C203" i="12"/>
  <c r="B203" i="12"/>
  <c r="A203" i="12"/>
  <c r="B202" i="12"/>
  <c r="C202" i="12" s="1"/>
  <c r="A202" i="12"/>
  <c r="B201" i="12"/>
  <c r="A201" i="12"/>
  <c r="C201" i="12" s="1"/>
  <c r="B200" i="12"/>
  <c r="A200" i="12"/>
  <c r="C200" i="12" s="1"/>
  <c r="B199" i="12"/>
  <c r="A199" i="12"/>
  <c r="C199" i="12" s="1"/>
  <c r="B198" i="12"/>
  <c r="C198" i="12" s="1"/>
  <c r="A198" i="12"/>
  <c r="B197" i="12"/>
  <c r="A197" i="12"/>
  <c r="B196" i="12"/>
  <c r="A196" i="12"/>
  <c r="C195" i="12"/>
  <c r="B195" i="12"/>
  <c r="A195" i="12"/>
  <c r="B194" i="12"/>
  <c r="C194" i="12" s="1"/>
  <c r="A194" i="12"/>
  <c r="C193" i="12"/>
  <c r="B193" i="12"/>
  <c r="A193" i="12"/>
  <c r="B192" i="12"/>
  <c r="A192" i="12"/>
  <c r="B191" i="12"/>
  <c r="A191" i="12"/>
  <c r="C191" i="12" s="1"/>
  <c r="K190" i="12"/>
  <c r="L190" i="12" s="1"/>
  <c r="B190" i="12"/>
  <c r="A190" i="12"/>
  <c r="K189" i="12"/>
  <c r="L189" i="12" s="1"/>
  <c r="B189" i="12"/>
  <c r="A189" i="12"/>
  <c r="K188" i="12"/>
  <c r="L188" i="12" s="1"/>
  <c r="B188" i="12"/>
  <c r="C188" i="12" s="1"/>
  <c r="A188" i="12"/>
  <c r="K187" i="12"/>
  <c r="L187" i="12" s="1"/>
  <c r="B187" i="12"/>
  <c r="C187" i="12" s="1"/>
  <c r="A187" i="12"/>
  <c r="K186" i="12"/>
  <c r="L186" i="12" s="1"/>
  <c r="B186" i="12"/>
  <c r="A186" i="12"/>
  <c r="K185" i="12"/>
  <c r="L185" i="12" s="1"/>
  <c r="B185" i="12"/>
  <c r="A185" i="12"/>
  <c r="C185" i="12" s="1"/>
  <c r="K184" i="12"/>
  <c r="L184" i="12" s="1"/>
  <c r="B184" i="12"/>
  <c r="A184" i="12"/>
  <c r="K183" i="12"/>
  <c r="L183" i="12" s="1"/>
  <c r="B183" i="12"/>
  <c r="A183" i="12"/>
  <c r="C183" i="12" s="1"/>
  <c r="K182" i="12"/>
  <c r="L182" i="12" s="1"/>
  <c r="B182" i="12"/>
  <c r="A182" i="12"/>
  <c r="K181" i="12"/>
  <c r="L181" i="12" s="1"/>
  <c r="B181" i="12"/>
  <c r="A181" i="12"/>
  <c r="K180" i="12"/>
  <c r="L180" i="12" s="1"/>
  <c r="B180" i="12"/>
  <c r="A180" i="12"/>
  <c r="K179" i="12"/>
  <c r="L179" i="12" s="1"/>
  <c r="C179" i="12"/>
  <c r="B179" i="12"/>
  <c r="A179" i="12"/>
  <c r="K178" i="12"/>
  <c r="L178" i="12" s="1"/>
  <c r="B178" i="12"/>
  <c r="A178" i="12"/>
  <c r="C178" i="12" s="1"/>
  <c r="K177" i="12"/>
  <c r="L177" i="12" s="1"/>
  <c r="B177" i="12"/>
  <c r="A177" i="12"/>
  <c r="K176" i="12"/>
  <c r="L176" i="12" s="1"/>
  <c r="B176" i="12"/>
  <c r="C176" i="12" s="1"/>
  <c r="A176" i="12"/>
  <c r="K175" i="12"/>
  <c r="L175" i="12" s="1"/>
  <c r="B175" i="12"/>
  <c r="A175" i="12"/>
  <c r="C175" i="12" s="1"/>
  <c r="K174" i="12"/>
  <c r="L174" i="12" s="1"/>
  <c r="B174" i="12"/>
  <c r="A174" i="12"/>
  <c r="L173" i="12"/>
  <c r="K173" i="12"/>
  <c r="B173" i="12"/>
  <c r="A173" i="12"/>
  <c r="K172" i="12"/>
  <c r="L172" i="12" s="1"/>
  <c r="B172" i="12"/>
  <c r="C172" i="12" s="1"/>
  <c r="A172" i="12"/>
  <c r="K171" i="12"/>
  <c r="L171" i="12" s="1"/>
  <c r="B171" i="12"/>
  <c r="C171" i="12" s="1"/>
  <c r="A171" i="12"/>
  <c r="K170" i="12"/>
  <c r="L170" i="12" s="1"/>
  <c r="B170" i="12"/>
  <c r="A170" i="12"/>
  <c r="K169" i="12"/>
  <c r="L169" i="12" s="1"/>
  <c r="B169" i="12"/>
  <c r="A169" i="12"/>
  <c r="C169" i="12" s="1"/>
  <c r="K168" i="12"/>
  <c r="L168" i="12" s="1"/>
  <c r="B168" i="12"/>
  <c r="A168" i="12"/>
  <c r="K167" i="12"/>
  <c r="L167" i="12" s="1"/>
  <c r="B167" i="12"/>
  <c r="A167" i="12"/>
  <c r="C167" i="12" s="1"/>
  <c r="K166" i="12"/>
  <c r="L166" i="12" s="1"/>
  <c r="B166" i="12"/>
  <c r="A166" i="12"/>
  <c r="K165" i="12"/>
  <c r="L165" i="12" s="1"/>
  <c r="B165" i="12"/>
  <c r="A165" i="12"/>
  <c r="K164" i="12"/>
  <c r="L164" i="12" s="1"/>
  <c r="B164" i="12"/>
  <c r="A164" i="12"/>
  <c r="K163" i="12"/>
  <c r="L163" i="12" s="1"/>
  <c r="C163" i="12"/>
  <c r="B163" i="12"/>
  <c r="A163" i="12"/>
  <c r="K162" i="12"/>
  <c r="L162" i="12" s="1"/>
  <c r="B162" i="12"/>
  <c r="A162" i="12"/>
  <c r="C162" i="12" s="1"/>
  <c r="K161" i="12"/>
  <c r="L161" i="12" s="1"/>
  <c r="B161" i="12"/>
  <c r="A161" i="12"/>
  <c r="K160" i="12"/>
  <c r="L160" i="12" s="1"/>
  <c r="B160" i="12"/>
  <c r="A160" i="12"/>
  <c r="C160" i="12" s="1"/>
  <c r="K159" i="12"/>
  <c r="L159" i="12" s="1"/>
  <c r="B159" i="12"/>
  <c r="A159" i="12"/>
  <c r="C159" i="12" s="1"/>
  <c r="K158" i="12"/>
  <c r="L158" i="12" s="1"/>
  <c r="B158" i="12"/>
  <c r="A158" i="12"/>
  <c r="C158" i="12" s="1"/>
  <c r="K157" i="12"/>
  <c r="L157" i="12" s="1"/>
  <c r="B157" i="12"/>
  <c r="A157" i="12"/>
  <c r="K156" i="12"/>
  <c r="L156" i="12" s="1"/>
  <c r="B156" i="12"/>
  <c r="C156" i="12" s="1"/>
  <c r="A156" i="12"/>
  <c r="L155" i="12"/>
  <c r="K155" i="12"/>
  <c r="B155" i="12"/>
  <c r="A155" i="12"/>
  <c r="C155" i="12" s="1"/>
  <c r="K154" i="12"/>
  <c r="L154" i="12" s="1"/>
  <c r="B154" i="12"/>
  <c r="A154" i="12"/>
  <c r="L153" i="12"/>
  <c r="K153" i="12"/>
  <c r="B153" i="12"/>
  <c r="A153" i="12"/>
  <c r="K152" i="12"/>
  <c r="L152" i="12" s="1"/>
  <c r="C152" i="12"/>
  <c r="B152" i="12"/>
  <c r="A152" i="12"/>
  <c r="K151" i="12"/>
  <c r="L151" i="12" s="1"/>
  <c r="B151" i="12"/>
  <c r="C151" i="12" s="1"/>
  <c r="A151" i="12"/>
  <c r="K150" i="12"/>
  <c r="L150" i="12" s="1"/>
  <c r="B150" i="12"/>
  <c r="A150" i="12"/>
  <c r="K149" i="12"/>
  <c r="L149" i="12" s="1"/>
  <c r="B149" i="12"/>
  <c r="A149" i="12"/>
  <c r="C149" i="12" s="1"/>
  <c r="K148" i="12"/>
  <c r="L148" i="12" s="1"/>
  <c r="B148" i="12"/>
  <c r="A148" i="12"/>
  <c r="L147" i="12"/>
  <c r="K147" i="12"/>
  <c r="B147" i="12"/>
  <c r="A147" i="12"/>
  <c r="C147" i="12" s="1"/>
  <c r="K146" i="12"/>
  <c r="L146" i="12" s="1"/>
  <c r="B146" i="12"/>
  <c r="A146" i="12"/>
  <c r="C146" i="12" s="1"/>
  <c r="L145" i="12"/>
  <c r="K145" i="12"/>
  <c r="B145" i="12"/>
  <c r="A145" i="12"/>
  <c r="K144" i="12"/>
  <c r="L144" i="12" s="1"/>
  <c r="B144" i="12"/>
  <c r="A144" i="12"/>
  <c r="C144" i="12" s="1"/>
  <c r="K143" i="12"/>
  <c r="L143" i="12" s="1"/>
  <c r="B143" i="12"/>
  <c r="A143" i="12"/>
  <c r="C143" i="12" s="1"/>
  <c r="K142" i="12"/>
  <c r="L142" i="12" s="1"/>
  <c r="B142" i="12"/>
  <c r="A142" i="12"/>
  <c r="K141" i="12"/>
  <c r="L141" i="12" s="1"/>
  <c r="B141" i="12"/>
  <c r="A141" i="12"/>
  <c r="K140" i="12"/>
  <c r="L140" i="12" s="1"/>
  <c r="B140" i="12"/>
  <c r="C140" i="12" s="1"/>
  <c r="A140" i="12"/>
  <c r="K139" i="12"/>
  <c r="L139" i="12" s="1"/>
  <c r="C139" i="12"/>
  <c r="B139" i="12"/>
  <c r="A139" i="12"/>
  <c r="K138" i="12"/>
  <c r="L138" i="12" s="1"/>
  <c r="B138" i="12"/>
  <c r="A138" i="12"/>
  <c r="C138" i="12" s="1"/>
  <c r="L137" i="12"/>
  <c r="K137" i="12"/>
  <c r="B137" i="12"/>
  <c r="A137" i="12"/>
  <c r="C137" i="12" s="1"/>
  <c r="K136" i="12"/>
  <c r="L136" i="12" s="1"/>
  <c r="B136" i="12"/>
  <c r="A136" i="12"/>
  <c r="C136" i="12" s="1"/>
  <c r="K135" i="12"/>
  <c r="L135" i="12" s="1"/>
  <c r="B135" i="12"/>
  <c r="A135" i="12"/>
  <c r="L134" i="12"/>
  <c r="K134" i="12"/>
  <c r="B134" i="12"/>
  <c r="A134" i="12"/>
  <c r="K133" i="12"/>
  <c r="L133" i="12" s="1"/>
  <c r="B133" i="12"/>
  <c r="A133" i="12"/>
  <c r="K132" i="12"/>
  <c r="L132" i="12" s="1"/>
  <c r="B132" i="12"/>
  <c r="A132" i="12"/>
  <c r="K131" i="12"/>
  <c r="L131" i="12" s="1"/>
  <c r="C131" i="12"/>
  <c r="B131" i="12"/>
  <c r="A131" i="12"/>
  <c r="K130" i="12"/>
  <c r="L130" i="12" s="1"/>
  <c r="B130" i="12"/>
  <c r="A130" i="12"/>
  <c r="C130" i="12" s="1"/>
  <c r="K129" i="12"/>
  <c r="L129" i="12" s="1"/>
  <c r="B129" i="12"/>
  <c r="A129" i="12"/>
  <c r="K128" i="12"/>
  <c r="L128" i="12" s="1"/>
  <c r="B128" i="12"/>
  <c r="A128" i="12"/>
  <c r="C128" i="12" s="1"/>
  <c r="K127" i="12"/>
  <c r="L127" i="12" s="1"/>
  <c r="B127" i="12"/>
  <c r="C127" i="12" s="1"/>
  <c r="A127" i="12"/>
  <c r="K126" i="12"/>
  <c r="L126" i="12" s="1"/>
  <c r="B126" i="12"/>
  <c r="A126" i="12"/>
  <c r="L125" i="12"/>
  <c r="K125" i="12"/>
  <c r="B125" i="12"/>
  <c r="C125" i="12" s="1"/>
  <c r="A125" i="12"/>
  <c r="K124" i="12"/>
  <c r="L124" i="12" s="1"/>
  <c r="B124" i="12"/>
  <c r="C124" i="12" s="1"/>
  <c r="A124" i="12"/>
  <c r="L123" i="12"/>
  <c r="K123" i="12"/>
  <c r="B123" i="12"/>
  <c r="C123" i="12" s="1"/>
  <c r="A123" i="12"/>
  <c r="K122" i="12"/>
  <c r="L122" i="12" s="1"/>
  <c r="B122" i="12"/>
  <c r="A122" i="12"/>
  <c r="L121" i="12"/>
  <c r="K121" i="12"/>
  <c r="B121" i="12"/>
  <c r="A121" i="12"/>
  <c r="C121" i="12" s="1"/>
  <c r="K120" i="12"/>
  <c r="L120" i="12" s="1"/>
  <c r="B120" i="12"/>
  <c r="A120" i="12"/>
  <c r="C120" i="12" s="1"/>
  <c r="K119" i="12"/>
  <c r="L119" i="12" s="1"/>
  <c r="B119" i="12"/>
  <c r="A119" i="12"/>
  <c r="C119" i="12" s="1"/>
  <c r="K118" i="12"/>
  <c r="L118" i="12" s="1"/>
  <c r="B118" i="12"/>
  <c r="A118" i="12"/>
  <c r="C118" i="12" s="1"/>
  <c r="K117" i="12"/>
  <c r="L117" i="12" s="1"/>
  <c r="B117" i="12"/>
  <c r="A117" i="12"/>
  <c r="C117" i="12" s="1"/>
  <c r="K116" i="12"/>
  <c r="L116" i="12" s="1"/>
  <c r="B116" i="12"/>
  <c r="C116" i="12" s="1"/>
  <c r="A116" i="12"/>
  <c r="L115" i="12"/>
  <c r="K115" i="12"/>
  <c r="B115" i="12"/>
  <c r="A115" i="12"/>
  <c r="C115" i="12" s="1"/>
  <c r="K114" i="12"/>
  <c r="L114" i="12" s="1"/>
  <c r="B114" i="12"/>
  <c r="A114" i="12"/>
  <c r="L113" i="12"/>
  <c r="K113" i="12"/>
  <c r="B113" i="12"/>
  <c r="A113" i="12"/>
  <c r="K112" i="12"/>
  <c r="L112" i="12" s="1"/>
  <c r="B112" i="12"/>
  <c r="C112" i="12" s="1"/>
  <c r="A112" i="12"/>
  <c r="K111" i="12"/>
  <c r="L111" i="12" s="1"/>
  <c r="B111" i="12"/>
  <c r="A111" i="12"/>
  <c r="K110" i="12"/>
  <c r="L110" i="12" s="1"/>
  <c r="B110" i="12"/>
  <c r="A110" i="12"/>
  <c r="C110" i="12" s="1"/>
  <c r="L109" i="12"/>
  <c r="K109" i="12"/>
  <c r="B109" i="12"/>
  <c r="A109" i="12"/>
  <c r="K108" i="12"/>
  <c r="L108" i="12" s="1"/>
  <c r="B108" i="12"/>
  <c r="C108" i="12" s="1"/>
  <c r="A108" i="12"/>
  <c r="K107" i="12"/>
  <c r="L107" i="12" s="1"/>
  <c r="C107" i="12"/>
  <c r="B107" i="12"/>
  <c r="A107" i="12"/>
  <c r="K106" i="12"/>
  <c r="L106" i="12" s="1"/>
  <c r="B106" i="12"/>
  <c r="A106" i="12"/>
  <c r="K105" i="12"/>
  <c r="L105" i="12" s="1"/>
  <c r="B105" i="12"/>
  <c r="A105" i="12"/>
  <c r="K104" i="12"/>
  <c r="L104" i="12" s="1"/>
  <c r="B104" i="12"/>
  <c r="C104" i="12" s="1"/>
  <c r="A104" i="12"/>
  <c r="K103" i="12"/>
  <c r="L103" i="12" s="1"/>
  <c r="B103" i="12"/>
  <c r="A103" i="12"/>
  <c r="K102" i="12"/>
  <c r="L102" i="12" s="1"/>
  <c r="B102" i="12"/>
  <c r="A102" i="12"/>
  <c r="L101" i="12"/>
  <c r="K101" i="12"/>
  <c r="B101" i="12"/>
  <c r="A101" i="12"/>
  <c r="C101" i="12" s="1"/>
  <c r="K100" i="12"/>
  <c r="L100" i="12" s="1"/>
  <c r="B100" i="12"/>
  <c r="A100" i="12"/>
  <c r="K99" i="12"/>
  <c r="L99" i="12" s="1"/>
  <c r="B99" i="12"/>
  <c r="A99" i="12"/>
  <c r="C99" i="12" s="1"/>
  <c r="K98" i="12"/>
  <c r="L98" i="12" s="1"/>
  <c r="B98" i="12"/>
  <c r="A98" i="12"/>
  <c r="C98" i="12" s="1"/>
  <c r="K97" i="12"/>
  <c r="L97" i="12" s="1"/>
  <c r="B97" i="12"/>
  <c r="A97" i="12"/>
  <c r="K96" i="12"/>
  <c r="L96" i="12" s="1"/>
  <c r="C96" i="12"/>
  <c r="B96" i="12"/>
  <c r="A96" i="12"/>
  <c r="K95" i="12"/>
  <c r="L95" i="12" s="1"/>
  <c r="B95" i="12"/>
  <c r="A95" i="12"/>
  <c r="C95" i="12" s="1"/>
  <c r="K94" i="12"/>
  <c r="L94" i="12" s="1"/>
  <c r="B94" i="12"/>
  <c r="A94" i="12"/>
  <c r="L93" i="12"/>
  <c r="K93" i="12"/>
  <c r="B93" i="12"/>
  <c r="A93" i="12"/>
  <c r="C93" i="12" s="1"/>
  <c r="K92" i="12"/>
  <c r="L92" i="12" s="1"/>
  <c r="B92" i="12"/>
  <c r="C92" i="12" s="1"/>
  <c r="A92" i="12"/>
  <c r="K91" i="12"/>
  <c r="L91" i="12" s="1"/>
  <c r="B91" i="12"/>
  <c r="C91" i="12" s="1"/>
  <c r="A91" i="12"/>
  <c r="K90" i="12"/>
  <c r="L90" i="12" s="1"/>
  <c r="B90" i="12"/>
  <c r="A90" i="12"/>
  <c r="K89" i="12"/>
  <c r="L89" i="12" s="1"/>
  <c r="B89" i="12"/>
  <c r="A89" i="12"/>
  <c r="C89" i="12" s="1"/>
  <c r="K88" i="12"/>
  <c r="L88" i="12" s="1"/>
  <c r="B88" i="12"/>
  <c r="C88" i="12" s="1"/>
  <c r="A88" i="12"/>
  <c r="K87" i="12"/>
  <c r="L87" i="12" s="1"/>
  <c r="B87" i="12"/>
  <c r="A87" i="12"/>
  <c r="C87" i="12" s="1"/>
  <c r="K86" i="12"/>
  <c r="L86" i="12" s="1"/>
  <c r="B86" i="12"/>
  <c r="A86" i="12"/>
  <c r="C86" i="12" s="1"/>
  <c r="L85" i="12"/>
  <c r="K85" i="12"/>
  <c r="B85" i="12"/>
  <c r="A85" i="12"/>
  <c r="K84" i="12"/>
  <c r="L84" i="12" s="1"/>
  <c r="B84" i="12"/>
  <c r="A84" i="12"/>
  <c r="L83" i="12"/>
  <c r="K83" i="12"/>
  <c r="B83" i="12"/>
  <c r="A83" i="12"/>
  <c r="C83" i="12" s="1"/>
  <c r="K82" i="12"/>
  <c r="L82" i="12" s="1"/>
  <c r="B82" i="12"/>
  <c r="A82" i="12"/>
  <c r="C82" i="12" s="1"/>
  <c r="L81" i="12"/>
  <c r="K81" i="12"/>
  <c r="B81" i="12"/>
  <c r="A81" i="12"/>
  <c r="C81" i="12" s="1"/>
  <c r="K80" i="12"/>
  <c r="L80" i="12" s="1"/>
  <c r="B80" i="12"/>
  <c r="A80" i="12"/>
  <c r="C80" i="12" s="1"/>
  <c r="K79" i="12"/>
  <c r="L79" i="12" s="1"/>
  <c r="B79" i="12"/>
  <c r="A79" i="12"/>
  <c r="K78" i="12"/>
  <c r="L78" i="12" s="1"/>
  <c r="B78" i="12"/>
  <c r="A78" i="12"/>
  <c r="C78" i="12" s="1"/>
  <c r="K77" i="12"/>
  <c r="L77" i="12" s="1"/>
  <c r="B77" i="12"/>
  <c r="A77" i="12"/>
  <c r="K76" i="12"/>
  <c r="L76" i="12" s="1"/>
  <c r="B76" i="12"/>
  <c r="C76" i="12" s="1"/>
  <c r="A76" i="12"/>
  <c r="L75" i="12"/>
  <c r="K75" i="12"/>
  <c r="B75" i="12"/>
  <c r="C75" i="12" s="1"/>
  <c r="A75" i="12"/>
  <c r="K74" i="12"/>
  <c r="L74" i="12" s="1"/>
  <c r="B74" i="12"/>
  <c r="A74" i="12"/>
  <c r="L73" i="12"/>
  <c r="K73" i="12"/>
  <c r="B73" i="12"/>
  <c r="A73" i="12"/>
  <c r="C73" i="12" s="1"/>
  <c r="K72" i="12"/>
  <c r="L72" i="12" s="1"/>
  <c r="B72" i="12"/>
  <c r="A72" i="12"/>
  <c r="C72" i="12" s="1"/>
  <c r="K71" i="12"/>
  <c r="L71" i="12" s="1"/>
  <c r="B71" i="12"/>
  <c r="A71" i="12"/>
  <c r="C71" i="12" s="1"/>
  <c r="K70" i="12"/>
  <c r="L70" i="12" s="1"/>
  <c r="B70" i="12"/>
  <c r="A70" i="12"/>
  <c r="C70" i="12" s="1"/>
  <c r="K69" i="12"/>
  <c r="L69" i="12" s="1"/>
  <c r="B69" i="12"/>
  <c r="A69" i="12"/>
  <c r="C69" i="12" s="1"/>
  <c r="K68" i="12"/>
  <c r="L68" i="12" s="1"/>
  <c r="B68" i="12"/>
  <c r="A68" i="12"/>
  <c r="K67" i="12"/>
  <c r="L67" i="12" s="1"/>
  <c r="B67" i="12"/>
  <c r="A67" i="12"/>
  <c r="C67" i="12" s="1"/>
  <c r="K66" i="12"/>
  <c r="L66" i="12" s="1"/>
  <c r="B66" i="12"/>
  <c r="A66" i="12"/>
  <c r="C66" i="12" s="1"/>
  <c r="K65" i="12"/>
  <c r="L65" i="12" s="1"/>
  <c r="B65" i="12"/>
  <c r="A65" i="12"/>
  <c r="K64" i="12"/>
  <c r="L64" i="12" s="1"/>
  <c r="C64" i="12"/>
  <c r="B64" i="12"/>
  <c r="A64" i="12"/>
  <c r="K63" i="12"/>
  <c r="L63" i="12" s="1"/>
  <c r="B63" i="12"/>
  <c r="A63" i="12"/>
  <c r="C63" i="12" s="1"/>
  <c r="K62" i="12"/>
  <c r="L62" i="12" s="1"/>
  <c r="B62" i="12"/>
  <c r="A62" i="12"/>
  <c r="L61" i="12"/>
  <c r="K61" i="12"/>
  <c r="B61" i="12"/>
  <c r="C61" i="12" s="1"/>
  <c r="A61" i="12"/>
  <c r="K60" i="12"/>
  <c r="L60" i="12" s="1"/>
  <c r="B60" i="12"/>
  <c r="C60" i="12" s="1"/>
  <c r="A60" i="12"/>
  <c r="K59" i="12"/>
  <c r="L59" i="12" s="1"/>
  <c r="C59" i="12"/>
  <c r="B59" i="12"/>
  <c r="A59" i="12"/>
  <c r="K58" i="12"/>
  <c r="L58" i="12" s="1"/>
  <c r="B58" i="12"/>
  <c r="A58" i="12"/>
  <c r="L57" i="12"/>
  <c r="K57" i="12"/>
  <c r="B57" i="12"/>
  <c r="A57" i="12"/>
  <c r="K56" i="12"/>
  <c r="L56" i="12" s="1"/>
  <c r="B56" i="12"/>
  <c r="A56" i="12"/>
  <c r="K55" i="12"/>
  <c r="L55" i="12" s="1"/>
  <c r="C55" i="12"/>
  <c r="B55" i="12"/>
  <c r="A55" i="12"/>
  <c r="K54" i="12"/>
  <c r="L54" i="12" s="1"/>
  <c r="B54" i="12"/>
  <c r="A54" i="12"/>
  <c r="K53" i="12"/>
  <c r="L53" i="12" s="1"/>
  <c r="B53" i="12"/>
  <c r="A53" i="12"/>
  <c r="K52" i="12"/>
  <c r="L52" i="12" s="1"/>
  <c r="B52" i="12"/>
  <c r="A52" i="12"/>
  <c r="K51" i="12"/>
  <c r="L51" i="12" s="1"/>
  <c r="C51" i="12"/>
  <c r="B51" i="12"/>
  <c r="A51" i="12"/>
  <c r="K50" i="12"/>
  <c r="L50" i="12" s="1"/>
  <c r="B50" i="12"/>
  <c r="A50" i="12"/>
  <c r="K49" i="12"/>
  <c r="L49" i="12" s="1"/>
  <c r="B49" i="12"/>
  <c r="A49" i="12"/>
  <c r="K48" i="12"/>
  <c r="L48" i="12" s="1"/>
  <c r="B48" i="12"/>
  <c r="C48" i="12" s="1"/>
  <c r="A48" i="12"/>
  <c r="L47" i="12"/>
  <c r="K47" i="12"/>
  <c r="B47" i="12"/>
  <c r="C47" i="12" s="1"/>
  <c r="A47" i="12"/>
  <c r="K46" i="12"/>
  <c r="L46" i="12" s="1"/>
  <c r="B46" i="12"/>
  <c r="A46" i="12"/>
  <c r="L45" i="12"/>
  <c r="K45" i="12"/>
  <c r="B45" i="12"/>
  <c r="C45" i="12" s="1"/>
  <c r="A45" i="12"/>
  <c r="K44" i="12"/>
  <c r="L44" i="12" s="1"/>
  <c r="B44" i="12"/>
  <c r="C44" i="12" s="1"/>
  <c r="A44" i="12"/>
  <c r="L43" i="12"/>
  <c r="K43" i="12"/>
  <c r="B43" i="12"/>
  <c r="C43" i="12" s="1"/>
  <c r="A43" i="12"/>
  <c r="K42" i="12"/>
  <c r="L42" i="12" s="1"/>
  <c r="B42" i="12"/>
  <c r="A42" i="12"/>
  <c r="L41" i="12"/>
  <c r="K41" i="12"/>
  <c r="B41" i="12"/>
  <c r="C41" i="12" s="1"/>
  <c r="A41" i="12"/>
  <c r="K40" i="12"/>
  <c r="L40" i="12" s="1"/>
  <c r="B40" i="12"/>
  <c r="C40" i="12" s="1"/>
  <c r="A40" i="12"/>
  <c r="L39" i="12"/>
  <c r="K39" i="12"/>
  <c r="B39" i="12"/>
  <c r="C39" i="12" s="1"/>
  <c r="A39" i="12"/>
  <c r="K38" i="12"/>
  <c r="L38" i="12" s="1"/>
  <c r="B38" i="12"/>
  <c r="A38" i="12"/>
  <c r="L37" i="12"/>
  <c r="K37" i="12"/>
  <c r="B37" i="12"/>
  <c r="A37" i="12"/>
  <c r="C37" i="12" s="1"/>
  <c r="K36" i="12"/>
  <c r="L36" i="12" s="1"/>
  <c r="B36" i="12"/>
  <c r="A36" i="12"/>
  <c r="C36" i="12" s="1"/>
  <c r="L35" i="12"/>
  <c r="K35" i="12"/>
  <c r="B35" i="12"/>
  <c r="A35" i="12"/>
  <c r="C35" i="12" s="1"/>
  <c r="K34" i="12"/>
  <c r="L34" i="12" s="1"/>
  <c r="B34" i="12"/>
  <c r="A34" i="12"/>
  <c r="L33" i="12"/>
  <c r="K33" i="12"/>
  <c r="B33" i="12"/>
  <c r="A33" i="12"/>
  <c r="K32" i="12"/>
  <c r="L32" i="12" s="1"/>
  <c r="B32" i="12"/>
  <c r="A32" i="12"/>
  <c r="C32" i="12" s="1"/>
  <c r="L31" i="12"/>
  <c r="K31" i="12"/>
  <c r="B31" i="12"/>
  <c r="A31" i="12"/>
  <c r="C31" i="12" s="1"/>
  <c r="L30" i="12"/>
  <c r="K30" i="12"/>
  <c r="B30" i="12"/>
  <c r="A30" i="12"/>
  <c r="L29" i="12"/>
  <c r="K29" i="12"/>
  <c r="B29" i="12"/>
  <c r="A29" i="12"/>
  <c r="C29" i="12" s="1"/>
  <c r="K28" i="12"/>
  <c r="L28" i="12" s="1"/>
  <c r="B28" i="12"/>
  <c r="A28" i="12"/>
  <c r="K27" i="12"/>
  <c r="L27" i="12" s="1"/>
  <c r="B27" i="12"/>
  <c r="A27" i="12"/>
  <c r="K26" i="12"/>
  <c r="L26" i="12" s="1"/>
  <c r="B26" i="12"/>
  <c r="A26" i="12"/>
  <c r="K25" i="12"/>
  <c r="L25" i="12" s="1"/>
  <c r="B25" i="12"/>
  <c r="C25" i="12" s="1"/>
  <c r="A25" i="12"/>
  <c r="K24" i="12"/>
  <c r="L24" i="12" s="1"/>
  <c r="B24" i="12"/>
  <c r="A24" i="12"/>
  <c r="C24" i="12" s="1"/>
  <c r="K23" i="12"/>
  <c r="L23" i="12" s="1"/>
  <c r="B23" i="12"/>
  <c r="A23" i="12"/>
  <c r="C23" i="12" s="1"/>
  <c r="K22" i="12"/>
  <c r="L22" i="12" s="1"/>
  <c r="B22" i="12"/>
  <c r="A22" i="12"/>
  <c r="C22" i="12" s="1"/>
  <c r="L21" i="12"/>
  <c r="K21" i="12"/>
  <c r="B21" i="12"/>
  <c r="A21" i="12"/>
  <c r="C21" i="12" s="1"/>
  <c r="L20" i="12"/>
  <c r="K20" i="12"/>
  <c r="B20" i="12"/>
  <c r="A20" i="12"/>
  <c r="C20" i="12" s="1"/>
  <c r="L19" i="12"/>
  <c r="K19" i="12"/>
  <c r="C19" i="12"/>
  <c r="B19" i="12"/>
  <c r="A19" i="12"/>
  <c r="K18" i="12"/>
  <c r="L18" i="12" s="1"/>
  <c r="B18" i="12"/>
  <c r="A18" i="12"/>
  <c r="AC17" i="12"/>
  <c r="AB17" i="12"/>
  <c r="AA17" i="12"/>
  <c r="Z17" i="12"/>
  <c r="X17" i="12"/>
  <c r="Y17" i="12"/>
  <c r="N17" i="12"/>
  <c r="N16" i="12" s="1"/>
  <c r="K17" i="12"/>
  <c r="L17" i="12" s="1"/>
  <c r="C17" i="12"/>
  <c r="B17" i="12"/>
  <c r="A17" i="12"/>
  <c r="AA16" i="12"/>
  <c r="Y16" i="12"/>
  <c r="Z16" i="12"/>
  <c r="K16" i="12"/>
  <c r="L16" i="12" s="1"/>
  <c r="B16" i="12"/>
  <c r="A16" i="12"/>
  <c r="K15" i="12"/>
  <c r="L15" i="12" s="1"/>
  <c r="B15" i="12"/>
  <c r="A15" i="12"/>
  <c r="C15" i="12" s="1"/>
  <c r="K14" i="12"/>
  <c r="L14" i="12" s="1"/>
  <c r="B14" i="12"/>
  <c r="A14" i="12"/>
  <c r="C14" i="12" s="1"/>
  <c r="K13" i="12"/>
  <c r="L13" i="12" s="1"/>
  <c r="B13" i="12"/>
  <c r="A13" i="12"/>
  <c r="L12" i="12"/>
  <c r="K12" i="12"/>
  <c r="B12" i="12"/>
  <c r="A12" i="12"/>
  <c r="C12" i="12" s="1"/>
  <c r="K11" i="12"/>
  <c r="L11" i="12" s="1"/>
  <c r="B11" i="12"/>
  <c r="A11" i="12"/>
  <c r="L10" i="12"/>
  <c r="K10" i="12"/>
  <c r="B10" i="12"/>
  <c r="A10" i="12"/>
  <c r="C10" i="12" s="1"/>
  <c r="K9" i="12"/>
  <c r="L9" i="12" s="1"/>
  <c r="B9" i="12"/>
  <c r="A9" i="12"/>
  <c r="C9" i="12" s="1"/>
  <c r="K8" i="12"/>
  <c r="L8" i="12" s="1"/>
  <c r="B8" i="12"/>
  <c r="A8" i="12"/>
  <c r="A508" i="11"/>
  <c r="A507" i="11"/>
  <c r="A506" i="11"/>
  <c r="A505" i="11"/>
  <c r="A504" i="11"/>
  <c r="A503" i="11"/>
  <c r="A502" i="11"/>
  <c r="A501" i="11"/>
  <c r="A500" i="11"/>
  <c r="A499" i="11"/>
  <c r="A498" i="11"/>
  <c r="A497" i="11"/>
  <c r="A496" i="11"/>
  <c r="A495" i="11"/>
  <c r="A494" i="11"/>
  <c r="A493" i="11"/>
  <c r="A492" i="11"/>
  <c r="A491" i="11"/>
  <c r="A490" i="11"/>
  <c r="A489" i="11"/>
  <c r="A488" i="11"/>
  <c r="A487" i="11"/>
  <c r="A486" i="11"/>
  <c r="A485" i="11"/>
  <c r="A484" i="11"/>
  <c r="A483" i="11"/>
  <c r="A482" i="11"/>
  <c r="A481" i="11"/>
  <c r="A480" i="11"/>
  <c r="A479" i="11"/>
  <c r="A478" i="11"/>
  <c r="A477" i="11"/>
  <c r="A476" i="11"/>
  <c r="A475" i="11"/>
  <c r="A474" i="11"/>
  <c r="A473" i="11"/>
  <c r="A472" i="11"/>
  <c r="A471" i="11"/>
  <c r="A470" i="11"/>
  <c r="A469" i="11"/>
  <c r="A468" i="11"/>
  <c r="A467" i="11"/>
  <c r="A466" i="11"/>
  <c r="A465" i="11"/>
  <c r="A464" i="11"/>
  <c r="A463" i="11"/>
  <c r="A462" i="11"/>
  <c r="A461" i="11"/>
  <c r="A460" i="11"/>
  <c r="A459" i="11"/>
  <c r="A458" i="11"/>
  <c r="A457" i="11"/>
  <c r="A456" i="11"/>
  <c r="A455" i="11"/>
  <c r="A454" i="11"/>
  <c r="A453" i="11"/>
  <c r="A452" i="11"/>
  <c r="A451" i="11"/>
  <c r="A450" i="11"/>
  <c r="A449" i="11"/>
  <c r="A448" i="11"/>
  <c r="A447" i="11"/>
  <c r="A446" i="11"/>
  <c r="A445" i="11"/>
  <c r="A444" i="11"/>
  <c r="A443" i="11"/>
  <c r="A442" i="11"/>
  <c r="A441" i="11"/>
  <c r="A440" i="11"/>
  <c r="A439" i="11"/>
  <c r="A438" i="11"/>
  <c r="A437" i="11"/>
  <c r="A436" i="11"/>
  <c r="A435" i="11"/>
  <c r="A434" i="11"/>
  <c r="A433" i="11"/>
  <c r="A432" i="11"/>
  <c r="A431" i="11"/>
  <c r="A430" i="11"/>
  <c r="A429" i="11"/>
  <c r="A428" i="11"/>
  <c r="A427" i="11"/>
  <c r="A426" i="11"/>
  <c r="A425" i="11"/>
  <c r="A424" i="11"/>
  <c r="A423" i="11"/>
  <c r="A422" i="11"/>
  <c r="A421" i="11"/>
  <c r="A420" i="11"/>
  <c r="A419" i="11"/>
  <c r="A418" i="11"/>
  <c r="A417" i="11"/>
  <c r="A416" i="11"/>
  <c r="A415" i="11"/>
  <c r="A414" i="11"/>
  <c r="A413" i="11"/>
  <c r="A412" i="11"/>
  <c r="A411" i="11"/>
  <c r="A410" i="11"/>
  <c r="A409" i="11"/>
  <c r="A408" i="11"/>
  <c r="A407" i="11"/>
  <c r="A406" i="11"/>
  <c r="A405" i="11"/>
  <c r="A404" i="11"/>
  <c r="A403" i="11"/>
  <c r="A402" i="11"/>
  <c r="A401" i="11"/>
  <c r="A400" i="11"/>
  <c r="A399" i="11"/>
  <c r="A398" i="11"/>
  <c r="A397" i="11"/>
  <c r="A396" i="11"/>
  <c r="A395" i="11"/>
  <c r="A394" i="11"/>
  <c r="A393" i="11"/>
  <c r="A392" i="11"/>
  <c r="A391" i="11"/>
  <c r="A390" i="11"/>
  <c r="A389" i="11"/>
  <c r="A388" i="11"/>
  <c r="A387" i="11"/>
  <c r="A386" i="11"/>
  <c r="A385" i="11"/>
  <c r="A384" i="11"/>
  <c r="A383" i="11"/>
  <c r="A382" i="11"/>
  <c r="A381" i="11"/>
  <c r="A380" i="11"/>
  <c r="A379" i="11"/>
  <c r="A378" i="11"/>
  <c r="A377" i="11"/>
  <c r="A376" i="11"/>
  <c r="A375" i="11"/>
  <c r="A374" i="11"/>
  <c r="A373" i="11"/>
  <c r="A372" i="11"/>
  <c r="A371" i="11"/>
  <c r="A370" i="11"/>
  <c r="A369" i="11"/>
  <c r="A368" i="11"/>
  <c r="A367" i="11"/>
  <c r="A366" i="11"/>
  <c r="A365" i="11"/>
  <c r="A364" i="11"/>
  <c r="A363" i="11"/>
  <c r="A362" i="11"/>
  <c r="A361" i="11"/>
  <c r="A360" i="11"/>
  <c r="A359" i="11"/>
  <c r="A358" i="11"/>
  <c r="A357" i="11"/>
  <c r="A356" i="11"/>
  <c r="A355" i="11"/>
  <c r="A354" i="11"/>
  <c r="A353" i="11"/>
  <c r="A352" i="11"/>
  <c r="A351" i="11"/>
  <c r="A350" i="11"/>
  <c r="A349" i="11"/>
  <c r="A348" i="11"/>
  <c r="A347" i="11"/>
  <c r="A346" i="11"/>
  <c r="A345" i="11"/>
  <c r="A344" i="11"/>
  <c r="A343" i="11"/>
  <c r="A342" i="11"/>
  <c r="A341" i="11"/>
  <c r="A340" i="11"/>
  <c r="A339" i="11"/>
  <c r="A338" i="11"/>
  <c r="A337" i="11"/>
  <c r="A336" i="11"/>
  <c r="A335" i="11"/>
  <c r="A334" i="11"/>
  <c r="A333" i="11"/>
  <c r="A332" i="11"/>
  <c r="A331" i="11"/>
  <c r="A330" i="11"/>
  <c r="A329" i="11"/>
  <c r="A328" i="11"/>
  <c r="A327" i="11"/>
  <c r="A326" i="11"/>
  <c r="A325" i="11"/>
  <c r="A324" i="11"/>
  <c r="A323" i="11"/>
  <c r="A322" i="11"/>
  <c r="A321" i="11"/>
  <c r="A320" i="11"/>
  <c r="A319" i="11"/>
  <c r="A318" i="11"/>
  <c r="A317" i="11"/>
  <c r="A316" i="11"/>
  <c r="A315" i="11"/>
  <c r="A314" i="11"/>
  <c r="A313" i="11"/>
  <c r="A312" i="11"/>
  <c r="A311" i="11"/>
  <c r="A310" i="11"/>
  <c r="A309" i="11"/>
  <c r="A308" i="11"/>
  <c r="A307" i="11"/>
  <c r="A306" i="11"/>
  <c r="A305" i="11"/>
  <c r="A304" i="11"/>
  <c r="A303" i="11"/>
  <c r="A302" i="11"/>
  <c r="A301" i="11"/>
  <c r="A300" i="11"/>
  <c r="A299" i="11"/>
  <c r="A298" i="11"/>
  <c r="A297" i="11"/>
  <c r="A296" i="11"/>
  <c r="A295" i="11"/>
  <c r="A294" i="11"/>
  <c r="A293" i="11"/>
  <c r="A292" i="11"/>
  <c r="A291" i="11"/>
  <c r="A290" i="11"/>
  <c r="A289" i="11"/>
  <c r="A288" i="11"/>
  <c r="A287" i="11"/>
  <c r="A286" i="11"/>
  <c r="A285" i="11"/>
  <c r="A284" i="11"/>
  <c r="A283" i="11"/>
  <c r="A282" i="11"/>
  <c r="A281" i="11"/>
  <c r="A280" i="11"/>
  <c r="A279" i="11"/>
  <c r="A278" i="11"/>
  <c r="A277" i="11"/>
  <c r="A276" i="11"/>
  <c r="A275" i="11"/>
  <c r="A274" i="11"/>
  <c r="A273" i="11"/>
  <c r="A272" i="11"/>
  <c r="A271" i="11"/>
  <c r="A270" i="11"/>
  <c r="A269" i="11"/>
  <c r="A268" i="11"/>
  <c r="A267" i="11"/>
  <c r="A266" i="11"/>
  <c r="A265" i="11"/>
  <c r="A264" i="11"/>
  <c r="A263" i="11"/>
  <c r="A262" i="11"/>
  <c r="A261" i="11"/>
  <c r="A260" i="11"/>
  <c r="A259" i="11"/>
  <c r="A258" i="11"/>
  <c r="A257" i="11"/>
  <c r="A256" i="11"/>
  <c r="A255" i="11"/>
  <c r="A254" i="11"/>
  <c r="A253" i="11"/>
  <c r="A252" i="11"/>
  <c r="A251" i="11"/>
  <c r="A250" i="11"/>
  <c r="A249" i="11"/>
  <c r="A248" i="11"/>
  <c r="A247" i="11"/>
  <c r="A246" i="11"/>
  <c r="A245" i="11"/>
  <c r="A244" i="11"/>
  <c r="A243" i="11"/>
  <c r="A242" i="11"/>
  <c r="A241" i="11"/>
  <c r="A240" i="11"/>
  <c r="A239" i="11"/>
  <c r="A238" i="11"/>
  <c r="A237" i="11"/>
  <c r="A236" i="11"/>
  <c r="A235" i="11"/>
  <c r="A234" i="11"/>
  <c r="A233" i="11"/>
  <c r="A232" i="11"/>
  <c r="A231" i="11"/>
  <c r="A230" i="11"/>
  <c r="A229" i="11"/>
  <c r="A228" i="11"/>
  <c r="A227" i="11"/>
  <c r="A226" i="11"/>
  <c r="A225" i="11"/>
  <c r="A224" i="11"/>
  <c r="A223" i="11"/>
  <c r="A222" i="11"/>
  <c r="A221" i="11"/>
  <c r="A220" i="11"/>
  <c r="A219" i="11"/>
  <c r="A218" i="11"/>
  <c r="A217" i="11"/>
  <c r="A216" i="11"/>
  <c r="A215" i="11"/>
  <c r="A214" i="11"/>
  <c r="A213" i="11"/>
  <c r="A212" i="11"/>
  <c r="A211" i="11"/>
  <c r="A210" i="11"/>
  <c r="A209" i="11"/>
  <c r="A208" i="11"/>
  <c r="A207" i="11"/>
  <c r="A206" i="11"/>
  <c r="A205" i="11"/>
  <c r="A204" i="11"/>
  <c r="A203" i="11"/>
  <c r="A202" i="11"/>
  <c r="A201" i="11"/>
  <c r="A200" i="11"/>
  <c r="A199" i="11"/>
  <c r="A198" i="11"/>
  <c r="A197" i="11"/>
  <c r="A196" i="11"/>
  <c r="A195" i="11"/>
  <c r="A194" i="11"/>
  <c r="A193" i="11"/>
  <c r="A192" i="11"/>
  <c r="A191" i="11"/>
  <c r="A190" i="11"/>
  <c r="A189" i="11"/>
  <c r="A188" i="11"/>
  <c r="A187" i="11"/>
  <c r="A186" i="11"/>
  <c r="A185" i="11"/>
  <c r="A184" i="11"/>
  <c r="A183" i="11"/>
  <c r="A182" i="11"/>
  <c r="A181" i="11"/>
  <c r="A180" i="11"/>
  <c r="A179" i="11"/>
  <c r="A178" i="11"/>
  <c r="A177" i="11"/>
  <c r="A176" i="11"/>
  <c r="A175" i="11"/>
  <c r="A174" i="11"/>
  <c r="A173" i="11"/>
  <c r="A172" i="11"/>
  <c r="A171" i="11"/>
  <c r="A170" i="11"/>
  <c r="A169" i="11"/>
  <c r="A168" i="11"/>
  <c r="A167" i="11"/>
  <c r="A166" i="11"/>
  <c r="A165" i="11"/>
  <c r="A164" i="11"/>
  <c r="A163" i="11"/>
  <c r="A162" i="11"/>
  <c r="A161" i="11"/>
  <c r="A160" i="11"/>
  <c r="A159" i="11"/>
  <c r="A158" i="11"/>
  <c r="A157" i="11"/>
  <c r="A156" i="11"/>
  <c r="A155" i="11"/>
  <c r="A154" i="11"/>
  <c r="A153" i="11"/>
  <c r="A152" i="11"/>
  <c r="A151" i="11"/>
  <c r="A150" i="11"/>
  <c r="A149" i="11"/>
  <c r="A148" i="11"/>
  <c r="A147" i="11"/>
  <c r="A146" i="11"/>
  <c r="A145" i="11"/>
  <c r="A144" i="11"/>
  <c r="A143" i="11"/>
  <c r="A142" i="11"/>
  <c r="A141" i="11"/>
  <c r="A140" i="11"/>
  <c r="A139" i="11"/>
  <c r="A138" i="11"/>
  <c r="A137" i="11"/>
  <c r="A136" i="11"/>
  <c r="A135" i="11"/>
  <c r="A134" i="11"/>
  <c r="A133" i="11"/>
  <c r="A132" i="11"/>
  <c r="A131" i="11"/>
  <c r="A130" i="11"/>
  <c r="A129" i="11"/>
  <c r="A128" i="11"/>
  <c r="A127" i="11"/>
  <c r="A126" i="11"/>
  <c r="F125" i="11"/>
  <c r="D125" i="11"/>
  <c r="A125" i="11"/>
  <c r="F124" i="11"/>
  <c r="D124" i="11"/>
  <c r="A124" i="11"/>
  <c r="F123" i="11"/>
  <c r="D123" i="11"/>
  <c r="A123" i="11"/>
  <c r="F122" i="11"/>
  <c r="D122" i="11"/>
  <c r="A122" i="11"/>
  <c r="F121" i="11"/>
  <c r="D121" i="11"/>
  <c r="A121" i="11"/>
  <c r="F120" i="11"/>
  <c r="D120" i="11"/>
  <c r="A120" i="11"/>
  <c r="F119" i="11"/>
  <c r="D119" i="11"/>
  <c r="A119" i="11"/>
  <c r="F118" i="11"/>
  <c r="D118" i="11"/>
  <c r="A118" i="11"/>
  <c r="F117" i="11"/>
  <c r="D117" i="11"/>
  <c r="A117" i="11"/>
  <c r="F116" i="11"/>
  <c r="D116" i="11"/>
  <c r="A116" i="11"/>
  <c r="F115" i="11"/>
  <c r="D115" i="11"/>
  <c r="A115" i="11"/>
  <c r="F114" i="11"/>
  <c r="D114" i="11"/>
  <c r="A114" i="11"/>
  <c r="A113" i="11"/>
  <c r="A112" i="11"/>
  <c r="F111" i="11"/>
  <c r="D111" i="11"/>
  <c r="A111" i="11"/>
  <c r="F110" i="11"/>
  <c r="D110" i="11"/>
  <c r="A110" i="11"/>
  <c r="F109" i="11"/>
  <c r="D109" i="11"/>
  <c r="A109" i="11"/>
  <c r="F108" i="11"/>
  <c r="D108" i="11"/>
  <c r="A108" i="11"/>
  <c r="F107" i="11"/>
  <c r="D107" i="11"/>
  <c r="A107" i="11"/>
  <c r="F106" i="11"/>
  <c r="D106" i="11"/>
  <c r="A106" i="11"/>
  <c r="F105" i="11"/>
  <c r="D105" i="11"/>
  <c r="A105" i="11"/>
  <c r="F104" i="11"/>
  <c r="D104" i="11"/>
  <c r="A104" i="11"/>
  <c r="F103" i="11"/>
  <c r="D103" i="11"/>
  <c r="A103" i="11"/>
  <c r="F102" i="11"/>
  <c r="D102" i="11"/>
  <c r="A102" i="11"/>
  <c r="F101" i="11"/>
  <c r="D101" i="11"/>
  <c r="A101" i="11"/>
  <c r="F100" i="11"/>
  <c r="D100" i="11"/>
  <c r="A100" i="11"/>
  <c r="F99" i="11"/>
  <c r="D99" i="11"/>
  <c r="A99" i="11"/>
  <c r="F98" i="11"/>
  <c r="D98" i="11"/>
  <c r="A98" i="11"/>
  <c r="F97" i="11"/>
  <c r="D97" i="11"/>
  <c r="A97" i="11"/>
  <c r="F96" i="11"/>
  <c r="D96" i="11"/>
  <c r="A96" i="11"/>
  <c r="F95" i="11"/>
  <c r="D95" i="11"/>
  <c r="A95" i="11"/>
  <c r="F94" i="11"/>
  <c r="D94" i="11"/>
  <c r="A94" i="11"/>
  <c r="F93" i="11"/>
  <c r="D93" i="11"/>
  <c r="A93" i="11"/>
  <c r="F92" i="11"/>
  <c r="D92" i="11"/>
  <c r="A92" i="11"/>
  <c r="F91" i="11"/>
  <c r="D91" i="11"/>
  <c r="A91" i="11"/>
  <c r="F90" i="11"/>
  <c r="D90" i="11"/>
  <c r="A90" i="11"/>
  <c r="F89" i="11"/>
  <c r="D89" i="11"/>
  <c r="A89" i="11"/>
  <c r="F88" i="11"/>
  <c r="D88" i="11"/>
  <c r="A88" i="11"/>
  <c r="F87" i="11"/>
  <c r="D87" i="11"/>
  <c r="A87" i="11"/>
  <c r="F86" i="11"/>
  <c r="D86" i="11"/>
  <c r="A86" i="11"/>
  <c r="F85" i="11"/>
  <c r="D85" i="11"/>
  <c r="A85" i="11"/>
  <c r="F84" i="11"/>
  <c r="D84" i="11"/>
  <c r="A84" i="11"/>
  <c r="F83" i="11"/>
  <c r="D83" i="11"/>
  <c r="A83" i="11"/>
  <c r="F82" i="11"/>
  <c r="D82" i="11"/>
  <c r="A82" i="11"/>
  <c r="F81" i="11"/>
  <c r="D81" i="11"/>
  <c r="A81" i="11"/>
  <c r="F80" i="11"/>
  <c r="D80" i="11"/>
  <c r="A80" i="11"/>
  <c r="F79" i="11"/>
  <c r="D79" i="11"/>
  <c r="A79" i="11"/>
  <c r="F78" i="11"/>
  <c r="D78" i="11"/>
  <c r="A78" i="11"/>
  <c r="F77" i="11"/>
  <c r="D77" i="11"/>
  <c r="A77" i="11"/>
  <c r="F76" i="11"/>
  <c r="D76" i="11"/>
  <c r="A76" i="11"/>
  <c r="F75" i="11"/>
  <c r="D75" i="11"/>
  <c r="A75" i="11"/>
  <c r="F74" i="11"/>
  <c r="D74" i="11"/>
  <c r="A74" i="11"/>
  <c r="F73" i="11"/>
  <c r="D73" i="11"/>
  <c r="A73" i="11"/>
  <c r="F72" i="11"/>
  <c r="D72" i="11"/>
  <c r="A72" i="11"/>
  <c r="F71" i="11"/>
  <c r="D71" i="11"/>
  <c r="A71" i="11"/>
  <c r="F70" i="11"/>
  <c r="D70" i="11"/>
  <c r="A70" i="11"/>
  <c r="F69" i="11"/>
  <c r="D69" i="11"/>
  <c r="A69" i="11"/>
  <c r="F68" i="11"/>
  <c r="D68" i="11"/>
  <c r="A68" i="11"/>
  <c r="F67" i="11"/>
  <c r="D67" i="11"/>
  <c r="A67" i="11"/>
  <c r="F66" i="11"/>
  <c r="D66" i="11"/>
  <c r="A66" i="11"/>
  <c r="F65" i="11"/>
  <c r="D65" i="11"/>
  <c r="A65" i="11"/>
  <c r="F64" i="11"/>
  <c r="D64" i="11"/>
  <c r="A64" i="11"/>
  <c r="F63" i="11"/>
  <c r="D63" i="11"/>
  <c r="A63" i="11"/>
  <c r="F62" i="11"/>
  <c r="D62" i="11"/>
  <c r="A62" i="11"/>
  <c r="F61" i="11"/>
  <c r="D61" i="11"/>
  <c r="A61" i="11"/>
  <c r="F60" i="11"/>
  <c r="D60" i="11"/>
  <c r="A60" i="11"/>
  <c r="F59" i="11"/>
  <c r="D59" i="11"/>
  <c r="A59" i="11"/>
  <c r="F58" i="11"/>
  <c r="D58" i="11"/>
  <c r="A58" i="11"/>
  <c r="F57" i="11"/>
  <c r="D57" i="11"/>
  <c r="A57" i="11"/>
  <c r="F56" i="11"/>
  <c r="D56" i="11"/>
  <c r="A56" i="11"/>
  <c r="F55" i="11"/>
  <c r="D55" i="11"/>
  <c r="A55" i="11"/>
  <c r="F54" i="11"/>
  <c r="D54" i="11"/>
  <c r="A54" i="11"/>
  <c r="F53" i="11"/>
  <c r="D53" i="11"/>
  <c r="A53" i="11"/>
  <c r="F52" i="11"/>
  <c r="D52" i="11"/>
  <c r="A52" i="11"/>
  <c r="F51" i="11"/>
  <c r="D51" i="11"/>
  <c r="A51" i="11"/>
  <c r="F50" i="11"/>
  <c r="D50" i="11"/>
  <c r="A50" i="11"/>
  <c r="F49" i="11"/>
  <c r="D49" i="11"/>
  <c r="A49" i="11"/>
  <c r="F48" i="11"/>
  <c r="D48" i="11"/>
  <c r="A48" i="11"/>
  <c r="F47" i="11"/>
  <c r="D47" i="11"/>
  <c r="A47" i="11"/>
  <c r="F46" i="11"/>
  <c r="D46" i="11"/>
  <c r="A46" i="11"/>
  <c r="F45" i="11"/>
  <c r="D45" i="11"/>
  <c r="A45" i="11"/>
  <c r="F44" i="11"/>
  <c r="D44" i="11"/>
  <c r="A44" i="11"/>
  <c r="F43" i="11"/>
  <c r="D43" i="11"/>
  <c r="A43" i="11"/>
  <c r="F42" i="11"/>
  <c r="D42" i="11"/>
  <c r="A42" i="11"/>
  <c r="F41" i="11"/>
  <c r="D41" i="11"/>
  <c r="A41" i="11"/>
  <c r="F40" i="11"/>
  <c r="D40" i="11"/>
  <c r="A40" i="11"/>
  <c r="F39" i="11"/>
  <c r="D39" i="11"/>
  <c r="A39" i="11"/>
  <c r="F38" i="11"/>
  <c r="D38" i="11"/>
  <c r="A38" i="11"/>
  <c r="F37" i="11"/>
  <c r="D37" i="11"/>
  <c r="A37" i="11"/>
  <c r="F36" i="11"/>
  <c r="D36" i="11"/>
  <c r="A36" i="11"/>
  <c r="F35" i="11"/>
  <c r="D35" i="11"/>
  <c r="A35" i="11"/>
  <c r="F34" i="11"/>
  <c r="D34" i="11"/>
  <c r="A34" i="11"/>
  <c r="F33" i="11"/>
  <c r="D33" i="11"/>
  <c r="A33" i="11"/>
  <c r="F32" i="11"/>
  <c r="D32" i="11"/>
  <c r="A32" i="11"/>
  <c r="F31" i="11"/>
  <c r="D31" i="11"/>
  <c r="A31" i="11"/>
  <c r="F30" i="11"/>
  <c r="D30" i="11"/>
  <c r="A30" i="11"/>
  <c r="F29" i="11"/>
  <c r="D29" i="11"/>
  <c r="A29" i="11"/>
  <c r="F28" i="11"/>
  <c r="D28" i="11"/>
  <c r="A28" i="11"/>
  <c r="F27" i="11"/>
  <c r="D27" i="11"/>
  <c r="A27" i="11"/>
  <c r="F26" i="11"/>
  <c r="D26" i="11"/>
  <c r="A26" i="11"/>
  <c r="F25" i="11"/>
  <c r="D25" i="11"/>
  <c r="A25" i="11"/>
  <c r="F24" i="11"/>
  <c r="D24" i="11"/>
  <c r="A24" i="11"/>
  <c r="F23" i="11"/>
  <c r="D23" i="11"/>
  <c r="A23" i="11"/>
  <c r="F22" i="11"/>
  <c r="D22" i="11"/>
  <c r="A22" i="11"/>
  <c r="F21" i="11"/>
  <c r="D21" i="11"/>
  <c r="A21" i="11"/>
  <c r="F20" i="11"/>
  <c r="D20" i="11"/>
  <c r="A20" i="11"/>
  <c r="F19" i="11"/>
  <c r="D19" i="11"/>
  <c r="A19" i="11"/>
  <c r="F18" i="11"/>
  <c r="D18" i="11"/>
  <c r="A18" i="11"/>
  <c r="O17" i="11"/>
  <c r="H17" i="11"/>
  <c r="H16" i="11" s="1"/>
  <c r="F17" i="11"/>
  <c r="D17" i="11"/>
  <c r="A17" i="11"/>
  <c r="F16" i="11"/>
  <c r="D16" i="11"/>
  <c r="A16" i="11"/>
  <c r="F15" i="11"/>
  <c r="D15" i="11"/>
  <c r="A15" i="11"/>
  <c r="F14" i="11"/>
  <c r="D14" i="11"/>
  <c r="A14" i="11"/>
  <c r="F13" i="11"/>
  <c r="D13" i="11"/>
  <c r="A13" i="11"/>
  <c r="F12" i="11"/>
  <c r="D12" i="11"/>
  <c r="A12" i="11"/>
  <c r="F11" i="11"/>
  <c r="D11" i="11"/>
  <c r="A11" i="11"/>
  <c r="F10" i="11"/>
  <c r="D10" i="11"/>
  <c r="A10" i="11"/>
  <c r="F9" i="11"/>
  <c r="D9" i="11"/>
  <c r="A9" i="11"/>
  <c r="F8" i="11"/>
  <c r="D8" i="11"/>
  <c r="A8" i="11"/>
  <c r="H2" i="11"/>
  <c r="H1" i="11"/>
  <c r="B149" i="10"/>
  <c r="A149" i="10"/>
  <c r="B148" i="10"/>
  <c r="A148" i="10"/>
  <c r="B147" i="10"/>
  <c r="A147" i="10"/>
  <c r="B146" i="10"/>
  <c r="A146" i="10"/>
  <c r="B145" i="10"/>
  <c r="A145" i="10"/>
  <c r="B144" i="10"/>
  <c r="A144" i="10"/>
  <c r="B143" i="10"/>
  <c r="A143" i="10"/>
  <c r="B142" i="10"/>
  <c r="A142" i="10"/>
  <c r="B141" i="10"/>
  <c r="A141" i="10"/>
  <c r="B140" i="10"/>
  <c r="A140" i="10"/>
  <c r="B139" i="10"/>
  <c r="A139" i="10"/>
  <c r="B138" i="10"/>
  <c r="A138" i="10"/>
  <c r="B137" i="10"/>
  <c r="A137" i="10"/>
  <c r="B136" i="10"/>
  <c r="A136" i="10"/>
  <c r="B135" i="10"/>
  <c r="A135" i="10"/>
  <c r="B134" i="10"/>
  <c r="A134" i="10"/>
  <c r="B133" i="10"/>
  <c r="A133" i="10"/>
  <c r="B132" i="10"/>
  <c r="A132" i="10"/>
  <c r="B131" i="10"/>
  <c r="A131" i="10"/>
  <c r="B130" i="10"/>
  <c r="A130" i="10"/>
  <c r="B129" i="10"/>
  <c r="A129" i="10"/>
  <c r="B128" i="10"/>
  <c r="A128" i="10"/>
  <c r="B127" i="10"/>
  <c r="A127" i="10"/>
  <c r="B126" i="10"/>
  <c r="A126" i="10"/>
  <c r="B125" i="10"/>
  <c r="A125" i="10"/>
  <c r="B124" i="10"/>
  <c r="A124" i="10"/>
  <c r="B123" i="10"/>
  <c r="A123" i="10"/>
  <c r="B122" i="10"/>
  <c r="A122" i="10"/>
  <c r="B121" i="10"/>
  <c r="A121" i="10"/>
  <c r="B120" i="10"/>
  <c r="A120" i="10"/>
  <c r="B119" i="10"/>
  <c r="A119" i="10"/>
  <c r="B118" i="10"/>
  <c r="A118" i="10"/>
  <c r="B117" i="10"/>
  <c r="A117" i="10"/>
  <c r="B116" i="10"/>
  <c r="A116" i="10"/>
  <c r="B115" i="10"/>
  <c r="A115" i="10"/>
  <c r="B114" i="10"/>
  <c r="A114" i="10"/>
  <c r="B113" i="10"/>
  <c r="A113" i="10"/>
  <c r="B112" i="10"/>
  <c r="A112" i="10"/>
  <c r="B111" i="10"/>
  <c r="A111" i="10"/>
  <c r="B110" i="10"/>
  <c r="A110" i="10"/>
  <c r="B109" i="10"/>
  <c r="A109" i="10"/>
  <c r="B108" i="10"/>
  <c r="A108" i="10"/>
  <c r="B107" i="10"/>
  <c r="A107" i="10"/>
  <c r="B106" i="10"/>
  <c r="A106" i="10"/>
  <c r="B105" i="10"/>
  <c r="A105" i="10"/>
  <c r="B104" i="10"/>
  <c r="A104" i="10"/>
  <c r="B103" i="10"/>
  <c r="A103" i="10"/>
  <c r="B102" i="10"/>
  <c r="A102" i="10"/>
  <c r="B101" i="10"/>
  <c r="A101" i="10"/>
  <c r="B100" i="10"/>
  <c r="A100" i="10"/>
  <c r="B99" i="10"/>
  <c r="A99" i="10"/>
  <c r="B98" i="10"/>
  <c r="A98" i="10"/>
  <c r="B97" i="10"/>
  <c r="A97" i="10"/>
  <c r="B96" i="10"/>
  <c r="A96" i="10"/>
  <c r="B95" i="10"/>
  <c r="A95" i="10"/>
  <c r="B94" i="10"/>
  <c r="A94" i="10"/>
  <c r="B93" i="10"/>
  <c r="A93" i="10"/>
  <c r="B92" i="10"/>
  <c r="A92" i="10"/>
  <c r="B91" i="10"/>
  <c r="A91" i="10"/>
  <c r="B90" i="10"/>
  <c r="A90" i="10"/>
  <c r="B89" i="10"/>
  <c r="A89" i="10"/>
  <c r="B88" i="10"/>
  <c r="A88" i="10"/>
  <c r="B87" i="10"/>
  <c r="A87" i="10"/>
  <c r="B86" i="10"/>
  <c r="A86" i="10"/>
  <c r="B85" i="10"/>
  <c r="A85" i="10"/>
  <c r="B84" i="10"/>
  <c r="A84" i="10"/>
  <c r="B83" i="10"/>
  <c r="A83" i="10"/>
  <c r="B82" i="10"/>
  <c r="A82" i="10"/>
  <c r="B81" i="10"/>
  <c r="A81" i="10"/>
  <c r="B80" i="10"/>
  <c r="A80" i="10"/>
  <c r="B79" i="10"/>
  <c r="A79" i="10"/>
  <c r="B78" i="10"/>
  <c r="A78" i="10"/>
  <c r="B77" i="10"/>
  <c r="A77" i="10"/>
  <c r="B76" i="10"/>
  <c r="A76" i="10"/>
  <c r="B75" i="10"/>
  <c r="A75" i="10"/>
  <c r="B74" i="10"/>
  <c r="A74" i="10"/>
  <c r="B73" i="10"/>
  <c r="A73" i="10"/>
  <c r="B72" i="10"/>
  <c r="A72" i="10"/>
  <c r="B71" i="10"/>
  <c r="A71" i="10"/>
  <c r="B70" i="10"/>
  <c r="A70" i="10"/>
  <c r="B69" i="10"/>
  <c r="A69" i="10"/>
  <c r="B68" i="10"/>
  <c r="A68" i="10"/>
  <c r="B67" i="10"/>
  <c r="A67" i="10"/>
  <c r="B66" i="10"/>
  <c r="A66" i="10"/>
  <c r="B65" i="10"/>
  <c r="A65" i="10"/>
  <c r="B64" i="10"/>
  <c r="A64" i="10"/>
  <c r="B63" i="10"/>
  <c r="A63" i="10"/>
  <c r="B62" i="10"/>
  <c r="A62" i="10"/>
  <c r="B61" i="10"/>
  <c r="A61" i="10"/>
  <c r="B60" i="10"/>
  <c r="A60" i="10"/>
  <c r="B59" i="10"/>
  <c r="A59" i="10"/>
  <c r="B58" i="10"/>
  <c r="A58" i="10"/>
  <c r="B57" i="10"/>
  <c r="A57" i="10"/>
  <c r="B56" i="10"/>
  <c r="A56" i="10"/>
  <c r="B55" i="10"/>
  <c r="A55" i="10"/>
  <c r="B54" i="10"/>
  <c r="A54" i="10"/>
  <c r="B53" i="10"/>
  <c r="A53" i="10"/>
  <c r="B52" i="10"/>
  <c r="A52" i="10"/>
  <c r="B51" i="10"/>
  <c r="A51" i="10"/>
  <c r="B50" i="10"/>
  <c r="A50" i="10"/>
  <c r="B49" i="10"/>
  <c r="A49" i="10"/>
  <c r="B48" i="10"/>
  <c r="A48" i="10"/>
  <c r="B47" i="10"/>
  <c r="A47" i="10"/>
  <c r="B46" i="10"/>
  <c r="A46" i="10"/>
  <c r="B45" i="10"/>
  <c r="A45" i="10"/>
  <c r="B44" i="10"/>
  <c r="A44" i="10"/>
  <c r="B43" i="10"/>
  <c r="A43" i="10"/>
  <c r="B42" i="10"/>
  <c r="A42" i="10"/>
  <c r="B41" i="10"/>
  <c r="A41" i="10"/>
  <c r="B40" i="10"/>
  <c r="A40" i="10"/>
  <c r="B39" i="10"/>
  <c r="A39" i="10"/>
  <c r="B38" i="10"/>
  <c r="A38" i="10"/>
  <c r="B37" i="10"/>
  <c r="A37" i="10"/>
  <c r="B36" i="10"/>
  <c r="A36" i="10"/>
  <c r="B35" i="10"/>
  <c r="A35" i="10"/>
  <c r="B34" i="10"/>
  <c r="A34" i="10"/>
  <c r="B33" i="10"/>
  <c r="A33" i="10"/>
  <c r="B32" i="10"/>
  <c r="A32" i="10"/>
  <c r="B31" i="10"/>
  <c r="A31" i="10"/>
  <c r="B30" i="10"/>
  <c r="A30" i="10"/>
  <c r="B29" i="10"/>
  <c r="A29" i="10"/>
  <c r="B28" i="10"/>
  <c r="A28" i="10"/>
  <c r="B27" i="10"/>
  <c r="A27" i="10"/>
  <c r="B26" i="10"/>
  <c r="A26" i="10"/>
  <c r="B25" i="10"/>
  <c r="A25" i="10"/>
  <c r="B24" i="10"/>
  <c r="A24" i="10"/>
  <c r="B23" i="10"/>
  <c r="A23" i="10"/>
  <c r="B22" i="10"/>
  <c r="A22" i="10"/>
  <c r="B21" i="10"/>
  <c r="A21" i="10"/>
  <c r="B20" i="10"/>
  <c r="A20" i="10"/>
  <c r="B19" i="10"/>
  <c r="A19" i="10"/>
  <c r="B18" i="10"/>
  <c r="A18" i="10"/>
  <c r="B17" i="10"/>
  <c r="A17" i="10"/>
  <c r="B16" i="10"/>
  <c r="A16" i="10"/>
  <c r="B15" i="10"/>
  <c r="A15" i="10"/>
  <c r="B14" i="10"/>
  <c r="A14" i="10"/>
  <c r="B13" i="10"/>
  <c r="A13" i="10"/>
  <c r="B12" i="10"/>
  <c r="A12" i="10"/>
  <c r="B11" i="10"/>
  <c r="A11" i="10"/>
  <c r="B10" i="10"/>
  <c r="A10" i="10"/>
  <c r="B9" i="10"/>
  <c r="A9" i="10"/>
  <c r="B8" i="10"/>
  <c r="A8" i="10"/>
  <c r="A571" i="9"/>
  <c r="A570" i="9"/>
  <c r="A569" i="9"/>
  <c r="A568" i="9"/>
  <c r="A567" i="9"/>
  <c r="A566" i="9"/>
  <c r="A565" i="9"/>
  <c r="A564" i="9"/>
  <c r="A563" i="9"/>
  <c r="A562" i="9"/>
  <c r="A561" i="9"/>
  <c r="A560" i="9"/>
  <c r="A559" i="9"/>
  <c r="A558" i="9"/>
  <c r="A557" i="9"/>
  <c r="A556" i="9"/>
  <c r="A555" i="9"/>
  <c r="A554" i="9"/>
  <c r="A553" i="9"/>
  <c r="A552" i="9"/>
  <c r="A551" i="9"/>
  <c r="A550" i="9"/>
  <c r="A549" i="9"/>
  <c r="A548" i="9"/>
  <c r="A547" i="9"/>
  <c r="A546" i="9"/>
  <c r="A545" i="9"/>
  <c r="A544" i="9"/>
  <c r="A543" i="9"/>
  <c r="A542" i="9"/>
  <c r="A541" i="9"/>
  <c r="A540" i="9"/>
  <c r="A539" i="9"/>
  <c r="A538" i="9"/>
  <c r="A537" i="9"/>
  <c r="A536" i="9"/>
  <c r="A535" i="9"/>
  <c r="A534" i="9"/>
  <c r="A533" i="9"/>
  <c r="A532" i="9"/>
  <c r="A531" i="9"/>
  <c r="A530" i="9"/>
  <c r="A529" i="9"/>
  <c r="A528" i="9"/>
  <c r="A527" i="9"/>
  <c r="A526" i="9"/>
  <c r="A525" i="9"/>
  <c r="A524" i="9"/>
  <c r="A523" i="9"/>
  <c r="A522" i="9"/>
  <c r="A521" i="9"/>
  <c r="A520" i="9"/>
  <c r="A519" i="9"/>
  <c r="A518" i="9"/>
  <c r="A517" i="9"/>
  <c r="A516" i="9"/>
  <c r="A515" i="9"/>
  <c r="A514" i="9"/>
  <c r="A513" i="9"/>
  <c r="A512" i="9"/>
  <c r="A511" i="9"/>
  <c r="A510" i="9"/>
  <c r="A509" i="9"/>
  <c r="A508" i="9"/>
  <c r="A507" i="9"/>
  <c r="A506" i="9"/>
  <c r="A505" i="9"/>
  <c r="A504" i="9"/>
  <c r="A503" i="9"/>
  <c r="A502" i="9"/>
  <c r="A501" i="9"/>
  <c r="A500" i="9"/>
  <c r="A499" i="9"/>
  <c r="A498" i="9"/>
  <c r="A497" i="9"/>
  <c r="A496" i="9"/>
  <c r="A495" i="9"/>
  <c r="A494" i="9"/>
  <c r="A493" i="9"/>
  <c r="A492" i="9"/>
  <c r="A491" i="9"/>
  <c r="A490" i="9"/>
  <c r="A489" i="9"/>
  <c r="A488" i="9"/>
  <c r="A487" i="9"/>
  <c r="A486" i="9"/>
  <c r="A485" i="9"/>
  <c r="A484" i="9"/>
  <c r="A483" i="9"/>
  <c r="A482" i="9"/>
  <c r="A481" i="9"/>
  <c r="A480" i="9"/>
  <c r="A479" i="9"/>
  <c r="A478" i="9"/>
  <c r="A477" i="9"/>
  <c r="A476" i="9"/>
  <c r="A475" i="9"/>
  <c r="A474" i="9"/>
  <c r="A473" i="9"/>
  <c r="A472" i="9"/>
  <c r="A471" i="9"/>
  <c r="A470" i="9"/>
  <c r="A469" i="9"/>
  <c r="A468" i="9"/>
  <c r="A467" i="9"/>
  <c r="A466" i="9"/>
  <c r="A465" i="9"/>
  <c r="A464" i="9"/>
  <c r="A463" i="9"/>
  <c r="A462" i="9"/>
  <c r="A461" i="9"/>
  <c r="A460" i="9"/>
  <c r="A459" i="9"/>
  <c r="A458" i="9"/>
  <c r="A457" i="9"/>
  <c r="A456" i="9"/>
  <c r="A455" i="9"/>
  <c r="A454" i="9"/>
  <c r="A453" i="9"/>
  <c r="A452" i="9"/>
  <c r="A451" i="9"/>
  <c r="A450" i="9"/>
  <c r="A449" i="9"/>
  <c r="A448" i="9"/>
  <c r="A447" i="9"/>
  <c r="A446" i="9"/>
  <c r="A445" i="9"/>
  <c r="A444" i="9"/>
  <c r="A443" i="9"/>
  <c r="A442" i="9"/>
  <c r="A441" i="9"/>
  <c r="A440" i="9"/>
  <c r="A439" i="9"/>
  <c r="A438" i="9"/>
  <c r="A437" i="9"/>
  <c r="A436" i="9"/>
  <c r="A435" i="9"/>
  <c r="A434" i="9"/>
  <c r="A433" i="9"/>
  <c r="A432" i="9"/>
  <c r="A431" i="9"/>
  <c r="A430" i="9"/>
  <c r="A429" i="9"/>
  <c r="A428" i="9"/>
  <c r="A427" i="9"/>
  <c r="A426" i="9"/>
  <c r="A425" i="9"/>
  <c r="A424" i="9"/>
  <c r="A423" i="9"/>
  <c r="A422" i="9"/>
  <c r="A421" i="9"/>
  <c r="A420" i="9"/>
  <c r="A419" i="9"/>
  <c r="A418" i="9"/>
  <c r="A417" i="9"/>
  <c r="A416" i="9"/>
  <c r="A415" i="9"/>
  <c r="A414" i="9"/>
  <c r="A413" i="9"/>
  <c r="A412" i="9"/>
  <c r="A411" i="9"/>
  <c r="A410" i="9"/>
  <c r="A409" i="9"/>
  <c r="A408" i="9"/>
  <c r="A407" i="9"/>
  <c r="A406" i="9"/>
  <c r="A405" i="9"/>
  <c r="A404" i="9"/>
  <c r="A403" i="9"/>
  <c r="A402" i="9"/>
  <c r="A401" i="9"/>
  <c r="A400" i="9"/>
  <c r="A399" i="9"/>
  <c r="A398" i="9"/>
  <c r="A397" i="9"/>
  <c r="A396" i="9"/>
  <c r="A395" i="9"/>
  <c r="A394" i="9"/>
  <c r="A393" i="9"/>
  <c r="A392" i="9"/>
  <c r="A391" i="9"/>
  <c r="A390" i="9"/>
  <c r="A389" i="9"/>
  <c r="A388" i="9"/>
  <c r="A387" i="9"/>
  <c r="A386" i="9"/>
  <c r="A385" i="9"/>
  <c r="A384" i="9"/>
  <c r="A383" i="9"/>
  <c r="A382" i="9"/>
  <c r="A381" i="9"/>
  <c r="A380" i="9"/>
  <c r="A379" i="9"/>
  <c r="A378" i="9"/>
  <c r="A377" i="9"/>
  <c r="A376" i="9"/>
  <c r="A375" i="9"/>
  <c r="A374" i="9"/>
  <c r="A373" i="9"/>
  <c r="A372" i="9"/>
  <c r="A371" i="9"/>
  <c r="A370" i="9"/>
  <c r="A369" i="9"/>
  <c r="A368" i="9"/>
  <c r="A367" i="9"/>
  <c r="A366" i="9"/>
  <c r="A365" i="9"/>
  <c r="A364" i="9"/>
  <c r="A363" i="9"/>
  <c r="A362" i="9"/>
  <c r="A361" i="9"/>
  <c r="A360" i="9"/>
  <c r="A359" i="9"/>
  <c r="A358" i="9"/>
  <c r="A357" i="9"/>
  <c r="A356" i="9"/>
  <c r="A355" i="9"/>
  <c r="A354" i="9"/>
  <c r="A353" i="9"/>
  <c r="A352" i="9"/>
  <c r="A351" i="9"/>
  <c r="A350" i="9"/>
  <c r="A349" i="9"/>
  <c r="A348" i="9"/>
  <c r="A347" i="9"/>
  <c r="A346" i="9"/>
  <c r="A345" i="9"/>
  <c r="A344" i="9"/>
  <c r="A343" i="9"/>
  <c r="A342" i="9"/>
  <c r="A341" i="9"/>
  <c r="A340" i="9"/>
  <c r="A339" i="9"/>
  <c r="A338" i="9"/>
  <c r="A337" i="9"/>
  <c r="A336" i="9"/>
  <c r="A335" i="9"/>
  <c r="A334" i="9"/>
  <c r="A333" i="9"/>
  <c r="A332" i="9"/>
  <c r="A331" i="9"/>
  <c r="A330" i="9"/>
  <c r="A329" i="9"/>
  <c r="A328" i="9"/>
  <c r="A327" i="9"/>
  <c r="A326" i="9"/>
  <c r="A325" i="9"/>
  <c r="A324" i="9"/>
  <c r="A323" i="9"/>
  <c r="A322" i="9"/>
  <c r="A321" i="9"/>
  <c r="A320" i="9"/>
  <c r="A319" i="9"/>
  <c r="A318" i="9"/>
  <c r="A317" i="9"/>
  <c r="A316" i="9"/>
  <c r="A315" i="9"/>
  <c r="A314" i="9"/>
  <c r="A313" i="9"/>
  <c r="A312" i="9"/>
  <c r="A311" i="9"/>
  <c r="A310" i="9"/>
  <c r="A309" i="9"/>
  <c r="A308" i="9"/>
  <c r="A307" i="9"/>
  <c r="A306" i="9"/>
  <c r="A305" i="9"/>
  <c r="A304" i="9"/>
  <c r="A303" i="9"/>
  <c r="A302" i="9"/>
  <c r="A301" i="9"/>
  <c r="A300" i="9"/>
  <c r="A299" i="9"/>
  <c r="A298" i="9"/>
  <c r="A297" i="9"/>
  <c r="A296" i="9"/>
  <c r="A295" i="9"/>
  <c r="A294" i="9"/>
  <c r="A293" i="9"/>
  <c r="A292" i="9"/>
  <c r="A291" i="9"/>
  <c r="A290" i="9"/>
  <c r="A289" i="9"/>
  <c r="A288" i="9"/>
  <c r="A287" i="9"/>
  <c r="A286" i="9"/>
  <c r="A285" i="9"/>
  <c r="A284" i="9"/>
  <c r="A283" i="9"/>
  <c r="A282" i="9"/>
  <c r="A281" i="9"/>
  <c r="A280" i="9"/>
  <c r="A279" i="9"/>
  <c r="A278" i="9"/>
  <c r="A277" i="9"/>
  <c r="A276" i="9"/>
  <c r="A275" i="9"/>
  <c r="A274" i="9"/>
  <c r="A273" i="9"/>
  <c r="A272" i="9"/>
  <c r="A271" i="9"/>
  <c r="A270" i="9"/>
  <c r="A269" i="9"/>
  <c r="A268" i="9"/>
  <c r="A267" i="9"/>
  <c r="A266" i="9"/>
  <c r="A265" i="9"/>
  <c r="A264" i="9"/>
  <c r="A263" i="9"/>
  <c r="A262" i="9"/>
  <c r="A261" i="9"/>
  <c r="A260" i="9"/>
  <c r="A259" i="9"/>
  <c r="A258" i="9"/>
  <c r="A257" i="9"/>
  <c r="A256" i="9"/>
  <c r="A255" i="9"/>
  <c r="A254" i="9"/>
  <c r="A253" i="9"/>
  <c r="A252" i="9"/>
  <c r="A251" i="9"/>
  <c r="A250" i="9"/>
  <c r="A249" i="9"/>
  <c r="A248" i="9"/>
  <c r="A247"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8"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K89" i="9"/>
  <c r="J89" i="9"/>
  <c r="I89" i="9"/>
  <c r="G89" i="9"/>
  <c r="D89" i="9"/>
  <c r="A89" i="9"/>
  <c r="K88" i="9"/>
  <c r="J88" i="9"/>
  <c r="I88" i="9"/>
  <c r="G88" i="9"/>
  <c r="D88" i="9"/>
  <c r="A88" i="9"/>
  <c r="K87" i="9"/>
  <c r="J87" i="9"/>
  <c r="I87" i="9"/>
  <c r="G87" i="9"/>
  <c r="D87" i="9"/>
  <c r="A87" i="9"/>
  <c r="K86" i="9"/>
  <c r="J86" i="9"/>
  <c r="I86" i="9"/>
  <c r="G86" i="9"/>
  <c r="D86" i="9"/>
  <c r="A86" i="9"/>
  <c r="K85" i="9"/>
  <c r="J85" i="9"/>
  <c r="I85" i="9"/>
  <c r="G85" i="9"/>
  <c r="D85" i="9"/>
  <c r="A85" i="9"/>
  <c r="K84" i="9"/>
  <c r="J84" i="9"/>
  <c r="I84" i="9"/>
  <c r="G84" i="9"/>
  <c r="D84" i="9"/>
  <c r="A84" i="9"/>
  <c r="K83" i="9"/>
  <c r="J83" i="9"/>
  <c r="I83" i="9"/>
  <c r="G83" i="9"/>
  <c r="D83" i="9"/>
  <c r="A83" i="9"/>
  <c r="K82" i="9"/>
  <c r="J82" i="9"/>
  <c r="I82" i="9"/>
  <c r="G82" i="9"/>
  <c r="D82" i="9"/>
  <c r="A82" i="9"/>
  <c r="K81" i="9"/>
  <c r="J81" i="9"/>
  <c r="I81" i="9"/>
  <c r="G81" i="9"/>
  <c r="D81" i="9"/>
  <c r="A81" i="9"/>
  <c r="K80" i="9"/>
  <c r="J80" i="9"/>
  <c r="I80" i="9"/>
  <c r="G80" i="9"/>
  <c r="D80" i="9"/>
  <c r="A80" i="9"/>
  <c r="K79" i="9"/>
  <c r="J79" i="9"/>
  <c r="I79" i="9"/>
  <c r="G79" i="9"/>
  <c r="D79" i="9"/>
  <c r="A79" i="9"/>
  <c r="K78" i="9"/>
  <c r="J78" i="9"/>
  <c r="I78" i="9"/>
  <c r="G78" i="9"/>
  <c r="D78" i="9"/>
  <c r="A78" i="9"/>
  <c r="K77" i="9"/>
  <c r="J77" i="9"/>
  <c r="I77" i="9"/>
  <c r="G77" i="9"/>
  <c r="D77" i="9"/>
  <c r="A77" i="9"/>
  <c r="K76" i="9"/>
  <c r="J76" i="9"/>
  <c r="I76" i="9"/>
  <c r="G76" i="9"/>
  <c r="D76" i="9"/>
  <c r="A76" i="9"/>
  <c r="K75" i="9"/>
  <c r="J75" i="9"/>
  <c r="I75" i="9"/>
  <c r="G75" i="9"/>
  <c r="D75" i="9"/>
  <c r="A75" i="9"/>
  <c r="K74" i="9"/>
  <c r="J74" i="9"/>
  <c r="I74" i="9"/>
  <c r="G74" i="9"/>
  <c r="D74" i="9"/>
  <c r="A74" i="9"/>
  <c r="K73" i="9"/>
  <c r="J73" i="9"/>
  <c r="I73" i="9"/>
  <c r="G73" i="9"/>
  <c r="D73" i="9"/>
  <c r="A73" i="9"/>
  <c r="K72" i="9"/>
  <c r="J72" i="9"/>
  <c r="I72" i="9"/>
  <c r="G72" i="9"/>
  <c r="D72" i="9"/>
  <c r="A72" i="9"/>
  <c r="K71" i="9"/>
  <c r="J71" i="9"/>
  <c r="I71" i="9"/>
  <c r="G71" i="9"/>
  <c r="D71" i="9"/>
  <c r="A71" i="9"/>
  <c r="K70" i="9"/>
  <c r="J70" i="9"/>
  <c r="I70" i="9"/>
  <c r="G70" i="9"/>
  <c r="D70" i="9"/>
  <c r="A70" i="9"/>
  <c r="K69" i="9"/>
  <c r="J69" i="9"/>
  <c r="I69" i="9"/>
  <c r="G69" i="9"/>
  <c r="D69" i="9"/>
  <c r="A69" i="9"/>
  <c r="K68" i="9"/>
  <c r="J68" i="9"/>
  <c r="I68" i="9"/>
  <c r="G68" i="9"/>
  <c r="D68" i="9"/>
  <c r="A68" i="9"/>
  <c r="K67" i="9"/>
  <c r="J67" i="9"/>
  <c r="I67" i="9"/>
  <c r="G67" i="9"/>
  <c r="D67" i="9"/>
  <c r="A67" i="9"/>
  <c r="K66" i="9"/>
  <c r="J66" i="9"/>
  <c r="I66" i="9"/>
  <c r="G66" i="9"/>
  <c r="D66" i="9"/>
  <c r="A66" i="9"/>
  <c r="K65" i="9"/>
  <c r="J65" i="9"/>
  <c r="I65" i="9"/>
  <c r="G65" i="9"/>
  <c r="D65" i="9"/>
  <c r="A65" i="9"/>
  <c r="K64" i="9"/>
  <c r="J64" i="9"/>
  <c r="I64" i="9"/>
  <c r="G64" i="9"/>
  <c r="D64" i="9"/>
  <c r="A64" i="9"/>
  <c r="K63" i="9"/>
  <c r="J63" i="9"/>
  <c r="I63" i="9"/>
  <c r="G63" i="9"/>
  <c r="D63" i="9"/>
  <c r="A63" i="9"/>
  <c r="K62" i="9"/>
  <c r="J62" i="9"/>
  <c r="I62" i="9"/>
  <c r="G62" i="9"/>
  <c r="D62" i="9"/>
  <c r="A62" i="9"/>
  <c r="K61" i="9"/>
  <c r="J61" i="9"/>
  <c r="I61" i="9"/>
  <c r="G61" i="9"/>
  <c r="D61" i="9"/>
  <c r="A61" i="9"/>
  <c r="K60" i="9"/>
  <c r="J60" i="9"/>
  <c r="I60" i="9"/>
  <c r="G60" i="9"/>
  <c r="D60" i="9"/>
  <c r="A60" i="9"/>
  <c r="K59" i="9"/>
  <c r="J59" i="9"/>
  <c r="I59" i="9"/>
  <c r="G59" i="9"/>
  <c r="D59" i="9"/>
  <c r="A59" i="9"/>
  <c r="K58" i="9"/>
  <c r="J58" i="9"/>
  <c r="I58" i="9"/>
  <c r="G58" i="9"/>
  <c r="D58" i="9"/>
  <c r="A58" i="9"/>
  <c r="K57" i="9"/>
  <c r="J57" i="9"/>
  <c r="I57" i="9"/>
  <c r="G57" i="9"/>
  <c r="D57" i="9"/>
  <c r="A57" i="9"/>
  <c r="K56" i="9"/>
  <c r="J56" i="9"/>
  <c r="I56" i="9"/>
  <c r="G56" i="9"/>
  <c r="D56" i="9"/>
  <c r="A56" i="9"/>
  <c r="K55" i="9"/>
  <c r="J55" i="9"/>
  <c r="I55" i="9"/>
  <c r="G55" i="9"/>
  <c r="D55" i="9"/>
  <c r="A55" i="9"/>
  <c r="K54" i="9"/>
  <c r="J54" i="9"/>
  <c r="I54" i="9"/>
  <c r="G54" i="9"/>
  <c r="D54" i="9"/>
  <c r="A54" i="9"/>
  <c r="K53" i="9"/>
  <c r="J53" i="9"/>
  <c r="I53" i="9"/>
  <c r="G53" i="9"/>
  <c r="D53" i="9"/>
  <c r="A53" i="9"/>
  <c r="K52" i="9"/>
  <c r="J52" i="9"/>
  <c r="I52" i="9"/>
  <c r="G52" i="9"/>
  <c r="D52" i="9"/>
  <c r="A52" i="9"/>
  <c r="K51" i="9"/>
  <c r="J51" i="9"/>
  <c r="I51" i="9"/>
  <c r="G51" i="9"/>
  <c r="D51" i="9"/>
  <c r="A51" i="9"/>
  <c r="K50" i="9"/>
  <c r="J50" i="9"/>
  <c r="I50" i="9"/>
  <c r="G50" i="9"/>
  <c r="D50" i="9"/>
  <c r="A50" i="9"/>
  <c r="K49" i="9"/>
  <c r="J49" i="9"/>
  <c r="I49" i="9"/>
  <c r="G49" i="9"/>
  <c r="D49" i="9"/>
  <c r="A49" i="9"/>
  <c r="K48" i="9"/>
  <c r="J48" i="9"/>
  <c r="I48" i="9"/>
  <c r="G48" i="9"/>
  <c r="D48" i="9"/>
  <c r="A48" i="9"/>
  <c r="K47" i="9"/>
  <c r="J47" i="9"/>
  <c r="I47" i="9"/>
  <c r="G47" i="9"/>
  <c r="D47" i="9"/>
  <c r="A47" i="9"/>
  <c r="K46" i="9"/>
  <c r="J46" i="9"/>
  <c r="I46" i="9"/>
  <c r="G46" i="9"/>
  <c r="D46" i="9"/>
  <c r="A46" i="9"/>
  <c r="K45" i="9"/>
  <c r="J45" i="9"/>
  <c r="I45" i="9"/>
  <c r="G45" i="9"/>
  <c r="D45" i="9"/>
  <c r="A45" i="9"/>
  <c r="K44" i="9"/>
  <c r="J44" i="9"/>
  <c r="I44" i="9"/>
  <c r="G44" i="9"/>
  <c r="D44" i="9"/>
  <c r="A44" i="9"/>
  <c r="K43" i="9"/>
  <c r="J43" i="9"/>
  <c r="I43" i="9"/>
  <c r="G43" i="9"/>
  <c r="D43" i="9"/>
  <c r="A43" i="9"/>
  <c r="K42" i="9"/>
  <c r="J42" i="9"/>
  <c r="I42" i="9"/>
  <c r="G42" i="9"/>
  <c r="D42" i="9"/>
  <c r="A42" i="9"/>
  <c r="K41" i="9"/>
  <c r="J41" i="9"/>
  <c r="I41" i="9"/>
  <c r="G41" i="9"/>
  <c r="D41" i="9"/>
  <c r="A41" i="9"/>
  <c r="K40" i="9"/>
  <c r="J40" i="9"/>
  <c r="I40" i="9"/>
  <c r="G40" i="9"/>
  <c r="D40" i="9"/>
  <c r="A40" i="9"/>
  <c r="K39" i="9"/>
  <c r="J39" i="9"/>
  <c r="I39" i="9"/>
  <c r="G39" i="9"/>
  <c r="D39" i="9"/>
  <c r="A39" i="9"/>
  <c r="K38" i="9"/>
  <c r="J38" i="9"/>
  <c r="I38" i="9"/>
  <c r="G38" i="9"/>
  <c r="D38" i="9"/>
  <c r="A38" i="9"/>
  <c r="K37" i="9"/>
  <c r="J37" i="9"/>
  <c r="I37" i="9"/>
  <c r="G37" i="9"/>
  <c r="D37" i="9"/>
  <c r="A37" i="9"/>
  <c r="K36" i="9"/>
  <c r="J36" i="9"/>
  <c r="I36" i="9"/>
  <c r="G36" i="9"/>
  <c r="D36" i="9"/>
  <c r="A36" i="9"/>
  <c r="K35" i="9"/>
  <c r="J35" i="9"/>
  <c r="I35" i="9"/>
  <c r="G35" i="9"/>
  <c r="D35" i="9"/>
  <c r="A35" i="9"/>
  <c r="K34" i="9"/>
  <c r="J34" i="9"/>
  <c r="I34" i="9"/>
  <c r="G34" i="9"/>
  <c r="D34" i="9"/>
  <c r="A34" i="9"/>
  <c r="K33" i="9"/>
  <c r="J33" i="9"/>
  <c r="I33" i="9"/>
  <c r="G33" i="9"/>
  <c r="D33" i="9"/>
  <c r="A33" i="9"/>
  <c r="K32" i="9"/>
  <c r="J32" i="9"/>
  <c r="I32" i="9"/>
  <c r="G32" i="9"/>
  <c r="D32" i="9"/>
  <c r="A32" i="9"/>
  <c r="K31" i="9"/>
  <c r="J31" i="9"/>
  <c r="I31" i="9"/>
  <c r="G31" i="9"/>
  <c r="D31" i="9"/>
  <c r="A31" i="9"/>
  <c r="K30" i="9"/>
  <c r="J30" i="9"/>
  <c r="I30" i="9"/>
  <c r="G30" i="9"/>
  <c r="D30" i="9"/>
  <c r="A30" i="9"/>
  <c r="K29" i="9"/>
  <c r="J29" i="9"/>
  <c r="I29" i="9"/>
  <c r="G29" i="9"/>
  <c r="D29" i="9"/>
  <c r="A29" i="9"/>
  <c r="K28" i="9"/>
  <c r="J28" i="9"/>
  <c r="I28" i="9"/>
  <c r="G28" i="9"/>
  <c r="D28" i="9"/>
  <c r="A28" i="9"/>
  <c r="K27" i="9"/>
  <c r="J27" i="9"/>
  <c r="I27" i="9"/>
  <c r="G27" i="9"/>
  <c r="D27" i="9"/>
  <c r="A27" i="9"/>
  <c r="K26" i="9"/>
  <c r="J26" i="9"/>
  <c r="I26" i="9"/>
  <c r="G26" i="9"/>
  <c r="D26" i="9"/>
  <c r="A26" i="9"/>
  <c r="K25" i="9"/>
  <c r="J25" i="9"/>
  <c r="I25" i="9"/>
  <c r="G25" i="9"/>
  <c r="D25" i="9"/>
  <c r="A25" i="9"/>
  <c r="K24" i="9"/>
  <c r="J24" i="9"/>
  <c r="I24" i="9"/>
  <c r="G24" i="9"/>
  <c r="D24" i="9"/>
  <c r="A24" i="9"/>
  <c r="K23" i="9"/>
  <c r="J23" i="9"/>
  <c r="I23" i="9"/>
  <c r="G23" i="9"/>
  <c r="D23" i="9"/>
  <c r="A23" i="9"/>
  <c r="K22" i="9"/>
  <c r="J22" i="9"/>
  <c r="I22" i="9"/>
  <c r="G22" i="9"/>
  <c r="D22" i="9"/>
  <c r="A22" i="9"/>
  <c r="K21" i="9"/>
  <c r="J21" i="9"/>
  <c r="I21" i="9"/>
  <c r="G21" i="9"/>
  <c r="D21" i="9"/>
  <c r="A21" i="9"/>
  <c r="K20" i="9"/>
  <c r="J20" i="9"/>
  <c r="I20" i="9"/>
  <c r="G20" i="9"/>
  <c r="D20" i="9"/>
  <c r="A20" i="9"/>
  <c r="K19" i="9"/>
  <c r="J19" i="9"/>
  <c r="I19" i="9"/>
  <c r="G19" i="9"/>
  <c r="D19" i="9"/>
  <c r="A19" i="9"/>
  <c r="K18" i="9"/>
  <c r="J18" i="9"/>
  <c r="I18" i="9"/>
  <c r="G18" i="9"/>
  <c r="D18" i="9"/>
  <c r="A18" i="9"/>
  <c r="X17" i="9"/>
  <c r="AA17" i="9" s="1"/>
  <c r="M17" i="9"/>
  <c r="M16" i="9" s="1"/>
  <c r="K17" i="9"/>
  <c r="J17" i="9"/>
  <c r="I17" i="9"/>
  <c r="G17" i="9"/>
  <c r="D17" i="9"/>
  <c r="A17" i="9"/>
  <c r="K16" i="9"/>
  <c r="J16" i="9"/>
  <c r="I16" i="9"/>
  <c r="G16" i="9"/>
  <c r="D16" i="9"/>
  <c r="A16" i="9"/>
  <c r="K15" i="9"/>
  <c r="J15" i="9"/>
  <c r="I15" i="9"/>
  <c r="G15" i="9"/>
  <c r="D15" i="9"/>
  <c r="A15" i="9"/>
  <c r="K14" i="9"/>
  <c r="J14" i="9"/>
  <c r="I14" i="9"/>
  <c r="G14" i="9"/>
  <c r="D14" i="9"/>
  <c r="A14" i="9"/>
  <c r="K13" i="9"/>
  <c r="J13" i="9"/>
  <c r="I13" i="9"/>
  <c r="G13" i="9"/>
  <c r="D13" i="9"/>
  <c r="A13" i="9"/>
  <c r="K12" i="9"/>
  <c r="J12" i="9"/>
  <c r="I12" i="9"/>
  <c r="G12" i="9"/>
  <c r="D12" i="9"/>
  <c r="A12" i="9"/>
  <c r="K11" i="9"/>
  <c r="J11" i="9"/>
  <c r="I11" i="9"/>
  <c r="G11" i="9"/>
  <c r="D11" i="9"/>
  <c r="A11" i="9"/>
  <c r="K10" i="9"/>
  <c r="J10" i="9"/>
  <c r="I10" i="9"/>
  <c r="G10" i="9"/>
  <c r="D10" i="9"/>
  <c r="A10" i="9"/>
  <c r="K9" i="9"/>
  <c r="J9" i="9"/>
  <c r="I9" i="9"/>
  <c r="G9" i="9"/>
  <c r="D9" i="9"/>
  <c r="A9" i="9"/>
  <c r="K8" i="9"/>
  <c r="J8" i="9"/>
  <c r="I8" i="9"/>
  <c r="G8" i="9"/>
  <c r="D8" i="9"/>
  <c r="A8" i="9"/>
  <c r="M1" i="9"/>
  <c r="M2" i="9" s="1"/>
  <c r="A510" i="8"/>
  <c r="A509" i="8"/>
  <c r="A508" i="8"/>
  <c r="A507" i="8"/>
  <c r="A506" i="8"/>
  <c r="A505" i="8"/>
  <c r="A504" i="8"/>
  <c r="A503" i="8"/>
  <c r="A502" i="8"/>
  <c r="A501" i="8"/>
  <c r="A500" i="8"/>
  <c r="A499" i="8"/>
  <c r="A498" i="8"/>
  <c r="A497" i="8"/>
  <c r="A496" i="8"/>
  <c r="A495" i="8"/>
  <c r="A494" i="8"/>
  <c r="A493" i="8"/>
  <c r="A492" i="8"/>
  <c r="A491" i="8"/>
  <c r="A490" i="8"/>
  <c r="A489" i="8"/>
  <c r="A488" i="8"/>
  <c r="A487" i="8"/>
  <c r="A486" i="8"/>
  <c r="A485" i="8"/>
  <c r="A484" i="8"/>
  <c r="A483" i="8"/>
  <c r="A482" i="8"/>
  <c r="A481" i="8"/>
  <c r="A480" i="8"/>
  <c r="A479" i="8"/>
  <c r="A478" i="8"/>
  <c r="A477" i="8"/>
  <c r="A476" i="8"/>
  <c r="A475" i="8"/>
  <c r="A474" i="8"/>
  <c r="A473" i="8"/>
  <c r="A472" i="8"/>
  <c r="A471" i="8"/>
  <c r="A470" i="8"/>
  <c r="A469" i="8"/>
  <c r="A468" i="8"/>
  <c r="A467" i="8"/>
  <c r="A466" i="8"/>
  <c r="A465" i="8"/>
  <c r="A464" i="8"/>
  <c r="A463" i="8"/>
  <c r="A462" i="8"/>
  <c r="A461" i="8"/>
  <c r="A460" i="8"/>
  <c r="A459" i="8"/>
  <c r="A458" i="8"/>
  <c r="A457" i="8"/>
  <c r="A456" i="8"/>
  <c r="A455" i="8"/>
  <c r="A454" i="8"/>
  <c r="A453" i="8"/>
  <c r="A452" i="8"/>
  <c r="A451" i="8"/>
  <c r="A450" i="8"/>
  <c r="A449" i="8"/>
  <c r="A448" i="8"/>
  <c r="A447" i="8"/>
  <c r="A446" i="8"/>
  <c r="A445" i="8"/>
  <c r="A444" i="8"/>
  <c r="A443" i="8"/>
  <c r="A442" i="8"/>
  <c r="A441" i="8"/>
  <c r="A440" i="8"/>
  <c r="A439" i="8"/>
  <c r="A438" i="8"/>
  <c r="A437" i="8"/>
  <c r="A436" i="8"/>
  <c r="A435" i="8"/>
  <c r="A434" i="8"/>
  <c r="A433" i="8"/>
  <c r="A432" i="8"/>
  <c r="A431" i="8"/>
  <c r="A430" i="8"/>
  <c r="A429" i="8"/>
  <c r="A428" i="8"/>
  <c r="A427" i="8"/>
  <c r="A426" i="8"/>
  <c r="A425" i="8"/>
  <c r="A424" i="8"/>
  <c r="A423" i="8"/>
  <c r="A422" i="8"/>
  <c r="A421" i="8"/>
  <c r="A420" i="8"/>
  <c r="A419" i="8"/>
  <c r="A418" i="8"/>
  <c r="A417" i="8"/>
  <c r="A416" i="8"/>
  <c r="A415" i="8"/>
  <c r="A414" i="8"/>
  <c r="A413" i="8"/>
  <c r="A412" i="8"/>
  <c r="A411" i="8"/>
  <c r="A410" i="8"/>
  <c r="A409" i="8"/>
  <c r="A408" i="8"/>
  <c r="A407" i="8"/>
  <c r="A406" i="8"/>
  <c r="A405" i="8"/>
  <c r="A404" i="8"/>
  <c r="A403" i="8"/>
  <c r="A402" i="8"/>
  <c r="A401" i="8"/>
  <c r="A400" i="8"/>
  <c r="A399" i="8"/>
  <c r="A398" i="8"/>
  <c r="A397" i="8"/>
  <c r="A396" i="8"/>
  <c r="A395" i="8"/>
  <c r="A394" i="8"/>
  <c r="A393" i="8"/>
  <c r="A392" i="8"/>
  <c r="A391" i="8"/>
  <c r="A390" i="8"/>
  <c r="A389" i="8"/>
  <c r="A388" i="8"/>
  <c r="A387" i="8"/>
  <c r="A386" i="8"/>
  <c r="A385" i="8"/>
  <c r="A384" i="8"/>
  <c r="A383" i="8"/>
  <c r="A382" i="8"/>
  <c r="A381" i="8"/>
  <c r="A380" i="8"/>
  <c r="A379" i="8"/>
  <c r="A378" i="8"/>
  <c r="A377" i="8"/>
  <c r="A376" i="8"/>
  <c r="A375" i="8"/>
  <c r="A374" i="8"/>
  <c r="A373" i="8"/>
  <c r="A372" i="8"/>
  <c r="A371" i="8"/>
  <c r="A370" i="8"/>
  <c r="A369" i="8"/>
  <c r="A368" i="8"/>
  <c r="A367" i="8"/>
  <c r="A366" i="8"/>
  <c r="A365" i="8"/>
  <c r="A364" i="8"/>
  <c r="A363" i="8"/>
  <c r="A362" i="8"/>
  <c r="A361" i="8"/>
  <c r="A360" i="8"/>
  <c r="A359" i="8"/>
  <c r="A358" i="8"/>
  <c r="A357" i="8"/>
  <c r="A356" i="8"/>
  <c r="A355" i="8"/>
  <c r="A354" i="8"/>
  <c r="A353" i="8"/>
  <c r="A352" i="8"/>
  <c r="A351" i="8"/>
  <c r="A350" i="8"/>
  <c r="A349" i="8"/>
  <c r="A348" i="8"/>
  <c r="A347" i="8"/>
  <c r="A346" i="8"/>
  <c r="A345" i="8"/>
  <c r="A344" i="8"/>
  <c r="A343" i="8"/>
  <c r="A342" i="8"/>
  <c r="A341" i="8"/>
  <c r="A340" i="8"/>
  <c r="A339" i="8"/>
  <c r="A338" i="8"/>
  <c r="A337" i="8"/>
  <c r="A336" i="8"/>
  <c r="A335" i="8"/>
  <c r="A334" i="8"/>
  <c r="A333" i="8"/>
  <c r="A332" i="8"/>
  <c r="A331" i="8"/>
  <c r="A330" i="8"/>
  <c r="A329" i="8"/>
  <c r="A328" i="8"/>
  <c r="A327" i="8"/>
  <c r="A326" i="8"/>
  <c r="A325" i="8"/>
  <c r="A324" i="8"/>
  <c r="A323" i="8"/>
  <c r="A322" i="8"/>
  <c r="A321" i="8"/>
  <c r="A320" i="8"/>
  <c r="A319" i="8"/>
  <c r="A318" i="8"/>
  <c r="A317" i="8"/>
  <c r="A316" i="8"/>
  <c r="A315" i="8"/>
  <c r="A314" i="8"/>
  <c r="A313" i="8"/>
  <c r="A312" i="8"/>
  <c r="A311" i="8"/>
  <c r="A310" i="8"/>
  <c r="A309" i="8"/>
  <c r="A308" i="8"/>
  <c r="A307" i="8"/>
  <c r="A306" i="8"/>
  <c r="A305" i="8"/>
  <c r="A304" i="8"/>
  <c r="A303" i="8"/>
  <c r="A302" i="8"/>
  <c r="A301" i="8"/>
  <c r="A300" i="8"/>
  <c r="A299" i="8"/>
  <c r="A298" i="8"/>
  <c r="A297" i="8"/>
  <c r="A296" i="8"/>
  <c r="A295" i="8"/>
  <c r="A294" i="8"/>
  <c r="A293" i="8"/>
  <c r="A292" i="8"/>
  <c r="A291" i="8"/>
  <c r="A290" i="8"/>
  <c r="A289" i="8"/>
  <c r="A288" i="8"/>
  <c r="A287" i="8"/>
  <c r="A286" i="8"/>
  <c r="A285" i="8"/>
  <c r="A284" i="8"/>
  <c r="A283" i="8"/>
  <c r="A282" i="8"/>
  <c r="A281" i="8"/>
  <c r="A280" i="8"/>
  <c r="A279" i="8"/>
  <c r="A278" i="8"/>
  <c r="A277" i="8"/>
  <c r="A276" i="8"/>
  <c r="A275" i="8"/>
  <c r="A274" i="8"/>
  <c r="A273" i="8"/>
  <c r="A272" i="8"/>
  <c r="A271" i="8"/>
  <c r="A270" i="8"/>
  <c r="A269" i="8"/>
  <c r="A268" i="8"/>
  <c r="A267" i="8"/>
  <c r="A266" i="8"/>
  <c r="A265" i="8"/>
  <c r="A264" i="8"/>
  <c r="A263" i="8"/>
  <c r="A262" i="8"/>
  <c r="A261" i="8"/>
  <c r="A260" i="8"/>
  <c r="A259" i="8"/>
  <c r="A258" i="8"/>
  <c r="A257" i="8"/>
  <c r="A256" i="8"/>
  <c r="A255" i="8"/>
  <c r="A254" i="8"/>
  <c r="A253" i="8"/>
  <c r="A252" i="8"/>
  <c r="A251" i="8"/>
  <c r="A250" i="8"/>
  <c r="A249" i="8"/>
  <c r="A248" i="8"/>
  <c r="A247" i="8"/>
  <c r="A246" i="8"/>
  <c r="A245" i="8"/>
  <c r="A244" i="8"/>
  <c r="A243" i="8"/>
  <c r="A242" i="8"/>
  <c r="A241" i="8"/>
  <c r="A240" i="8"/>
  <c r="A239" i="8"/>
  <c r="A238" i="8"/>
  <c r="A237" i="8"/>
  <c r="A236" i="8"/>
  <c r="A235" i="8"/>
  <c r="A234" i="8"/>
  <c r="A233" i="8"/>
  <c r="A232" i="8"/>
  <c r="A231" i="8"/>
  <c r="A230" i="8"/>
  <c r="A229" i="8"/>
  <c r="A228" i="8"/>
  <c r="A227" i="8"/>
  <c r="A226" i="8"/>
  <c r="A225" i="8"/>
  <c r="A224" i="8"/>
  <c r="A223" i="8"/>
  <c r="A222" i="8"/>
  <c r="A221" i="8"/>
  <c r="A220" i="8"/>
  <c r="A219" i="8"/>
  <c r="A218" i="8"/>
  <c r="A217" i="8"/>
  <c r="A216" i="8"/>
  <c r="A215" i="8"/>
  <c r="A214" i="8"/>
  <c r="A213" i="8"/>
  <c r="A212" i="8"/>
  <c r="A211" i="8"/>
  <c r="A210" i="8"/>
  <c r="A209" i="8"/>
  <c r="A208" i="8"/>
  <c r="A207" i="8"/>
  <c r="A206" i="8"/>
  <c r="A205" i="8"/>
  <c r="A204" i="8"/>
  <c r="A203" i="8"/>
  <c r="A202" i="8"/>
  <c r="A201" i="8"/>
  <c r="A200" i="8"/>
  <c r="A199" i="8"/>
  <c r="A198" i="8"/>
  <c r="A197" i="8"/>
  <c r="A196" i="8"/>
  <c r="A195" i="8"/>
  <c r="A194" i="8"/>
  <c r="A193" i="8"/>
  <c r="A192" i="8"/>
  <c r="A191" i="8"/>
  <c r="A190" i="8"/>
  <c r="A189" i="8"/>
  <c r="A188" i="8"/>
  <c r="A187" i="8"/>
  <c r="A186" i="8"/>
  <c r="A185" i="8"/>
  <c r="A184" i="8"/>
  <c r="A183" i="8"/>
  <c r="A182" i="8"/>
  <c r="A181" i="8"/>
  <c r="A180" i="8"/>
  <c r="A179" i="8"/>
  <c r="A178" i="8"/>
  <c r="A177" i="8"/>
  <c r="A176" i="8"/>
  <c r="A175" i="8"/>
  <c r="A174" i="8"/>
  <c r="A173" i="8"/>
  <c r="A172" i="8"/>
  <c r="A171" i="8"/>
  <c r="A170" i="8"/>
  <c r="A169" i="8"/>
  <c r="A168" i="8"/>
  <c r="A167" i="8"/>
  <c r="A166" i="8"/>
  <c r="A165" i="8"/>
  <c r="A164" i="8"/>
  <c r="A163" i="8"/>
  <c r="A162" i="8"/>
  <c r="A161" i="8"/>
  <c r="A160" i="8"/>
  <c r="A159" i="8"/>
  <c r="A158" i="8"/>
  <c r="A157" i="8"/>
  <c r="A156" i="8"/>
  <c r="A155" i="8"/>
  <c r="A154" i="8"/>
  <c r="A153" i="8"/>
  <c r="A152" i="8"/>
  <c r="A151" i="8"/>
  <c r="A150" i="8"/>
  <c r="A149" i="8"/>
  <c r="A148" i="8"/>
  <c r="A147" i="8"/>
  <c r="A146" i="8"/>
  <c r="A145" i="8"/>
  <c r="A144" i="8"/>
  <c r="A143" i="8"/>
  <c r="A142" i="8"/>
  <c r="A141" i="8"/>
  <c r="A140" i="8"/>
  <c r="A139" i="8"/>
  <c r="A138" i="8"/>
  <c r="A137" i="8"/>
  <c r="A136" i="8"/>
  <c r="A135" i="8"/>
  <c r="A134" i="8"/>
  <c r="A133" i="8"/>
  <c r="A132" i="8"/>
  <c r="A131" i="8"/>
  <c r="A130" i="8"/>
  <c r="A129" i="8"/>
  <c r="A128" i="8"/>
  <c r="A127" i="8"/>
  <c r="A126" i="8"/>
  <c r="A125" i="8"/>
  <c r="A124" i="8"/>
  <c r="A123" i="8"/>
  <c r="A122" i="8"/>
  <c r="A121" i="8"/>
  <c r="A120" i="8"/>
  <c r="A119" i="8"/>
  <c r="A118" i="8"/>
  <c r="A117" i="8"/>
  <c r="A116" i="8"/>
  <c r="A115" i="8"/>
  <c r="A114" i="8"/>
  <c r="A113" i="8"/>
  <c r="A112" i="8"/>
  <c r="A111" i="8"/>
  <c r="A110" i="8"/>
  <c r="A109" i="8"/>
  <c r="A108" i="8"/>
  <c r="A107" i="8"/>
  <c r="A106" i="8"/>
  <c r="A105" i="8"/>
  <c r="A104" i="8"/>
  <c r="A103" i="8"/>
  <c r="A102" i="8"/>
  <c r="A101" i="8"/>
  <c r="A100" i="8"/>
  <c r="A99" i="8"/>
  <c r="A98" i="8"/>
  <c r="A97" i="8"/>
  <c r="A96" i="8"/>
  <c r="A95" i="8"/>
  <c r="A94" i="8"/>
  <c r="A93" i="8"/>
  <c r="A92" i="8"/>
  <c r="A91" i="8"/>
  <c r="A90" i="8"/>
  <c r="A89" i="8"/>
  <c r="A88" i="8"/>
  <c r="A87" i="8"/>
  <c r="A86" i="8"/>
  <c r="A85" i="8"/>
  <c r="A84" i="8"/>
  <c r="A83" i="8"/>
  <c r="A82" i="8"/>
  <c r="A81" i="8"/>
  <c r="A80" i="8"/>
  <c r="A79" i="8"/>
  <c r="A78" i="8"/>
  <c r="A77" i="8"/>
  <c r="A76" i="8"/>
  <c r="A75" i="8"/>
  <c r="A74" i="8"/>
  <c r="A73" i="8"/>
  <c r="A72" i="8"/>
  <c r="A71" i="8"/>
  <c r="A70" i="8"/>
  <c r="A69" i="8"/>
  <c r="A68" i="8"/>
  <c r="A67" i="8"/>
  <c r="A66" i="8"/>
  <c r="A65" i="8"/>
  <c r="A64" i="8"/>
  <c r="A63" i="8"/>
  <c r="A62" i="8"/>
  <c r="A61" i="8"/>
  <c r="A60" i="8"/>
  <c r="A59" i="8"/>
  <c r="A58" i="8"/>
  <c r="A57" i="8"/>
  <c r="A56" i="8"/>
  <c r="A55" i="8"/>
  <c r="A54" i="8"/>
  <c r="A53" i="8"/>
  <c r="A52" i="8"/>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12" i="8"/>
  <c r="A11" i="8"/>
  <c r="A10" i="8"/>
  <c r="B8" i="8"/>
  <c r="H1" i="8"/>
  <c r="H2" i="8" s="1"/>
  <c r="A507" i="7"/>
  <c r="A506" i="7"/>
  <c r="A505" i="7"/>
  <c r="A504" i="7"/>
  <c r="A503" i="7"/>
  <c r="A502" i="7"/>
  <c r="A501" i="7"/>
  <c r="A500" i="7"/>
  <c r="A499" i="7"/>
  <c r="A498" i="7"/>
  <c r="A497" i="7"/>
  <c r="A496" i="7"/>
  <c r="A495" i="7"/>
  <c r="A494" i="7"/>
  <c r="A493" i="7"/>
  <c r="A492" i="7"/>
  <c r="A491" i="7"/>
  <c r="A490" i="7"/>
  <c r="A489" i="7"/>
  <c r="A488" i="7"/>
  <c r="A487" i="7"/>
  <c r="A486" i="7"/>
  <c r="A485" i="7"/>
  <c r="A484" i="7"/>
  <c r="A483" i="7"/>
  <c r="A482" i="7"/>
  <c r="A481" i="7"/>
  <c r="A480" i="7"/>
  <c r="A479" i="7"/>
  <c r="A478" i="7"/>
  <c r="A477" i="7"/>
  <c r="A476" i="7"/>
  <c r="A475" i="7"/>
  <c r="A474" i="7"/>
  <c r="A473" i="7"/>
  <c r="A472" i="7"/>
  <c r="A471" i="7"/>
  <c r="A470" i="7"/>
  <c r="A469" i="7"/>
  <c r="A468" i="7"/>
  <c r="A467" i="7"/>
  <c r="A466" i="7"/>
  <c r="A465" i="7"/>
  <c r="A464" i="7"/>
  <c r="A463" i="7"/>
  <c r="A462" i="7"/>
  <c r="A461" i="7"/>
  <c r="A460" i="7"/>
  <c r="A459" i="7"/>
  <c r="A458" i="7"/>
  <c r="A457" i="7"/>
  <c r="A456" i="7"/>
  <c r="A455" i="7"/>
  <c r="A454" i="7"/>
  <c r="A453" i="7"/>
  <c r="A452" i="7"/>
  <c r="A451" i="7"/>
  <c r="A450" i="7"/>
  <c r="A449" i="7"/>
  <c r="A448" i="7"/>
  <c r="A447" i="7"/>
  <c r="A446" i="7"/>
  <c r="A445" i="7"/>
  <c r="A444" i="7"/>
  <c r="A443" i="7"/>
  <c r="A442" i="7"/>
  <c r="A441" i="7"/>
  <c r="A440" i="7"/>
  <c r="A439" i="7"/>
  <c r="A438" i="7"/>
  <c r="A437" i="7"/>
  <c r="A436" i="7"/>
  <c r="A435" i="7"/>
  <c r="A434" i="7"/>
  <c r="A433" i="7"/>
  <c r="A432" i="7"/>
  <c r="A431" i="7"/>
  <c r="A430" i="7"/>
  <c r="A429" i="7"/>
  <c r="A428" i="7"/>
  <c r="A427" i="7"/>
  <c r="A426" i="7"/>
  <c r="A425" i="7"/>
  <c r="A424" i="7"/>
  <c r="A423" i="7"/>
  <c r="A422" i="7"/>
  <c r="A421" i="7"/>
  <c r="A420" i="7"/>
  <c r="A419" i="7"/>
  <c r="A418" i="7"/>
  <c r="A417" i="7"/>
  <c r="A416" i="7"/>
  <c r="A415" i="7"/>
  <c r="A414" i="7"/>
  <c r="A413" i="7"/>
  <c r="A412" i="7"/>
  <c r="A411" i="7"/>
  <c r="A410" i="7"/>
  <c r="A409" i="7"/>
  <c r="A408" i="7"/>
  <c r="A407" i="7"/>
  <c r="A406" i="7"/>
  <c r="A405" i="7"/>
  <c r="A404" i="7"/>
  <c r="A403" i="7"/>
  <c r="A402" i="7"/>
  <c r="A401" i="7"/>
  <c r="A400" i="7"/>
  <c r="A399" i="7"/>
  <c r="A398" i="7"/>
  <c r="A397" i="7"/>
  <c r="A396" i="7"/>
  <c r="A395" i="7"/>
  <c r="A394" i="7"/>
  <c r="A393" i="7"/>
  <c r="A392" i="7"/>
  <c r="A391" i="7"/>
  <c r="A390" i="7"/>
  <c r="A389" i="7"/>
  <c r="A388" i="7"/>
  <c r="A387" i="7"/>
  <c r="A386" i="7"/>
  <c r="A385" i="7"/>
  <c r="A384" i="7"/>
  <c r="A383" i="7"/>
  <c r="A382" i="7"/>
  <c r="A381" i="7"/>
  <c r="A380" i="7"/>
  <c r="A379" i="7"/>
  <c r="A378" i="7"/>
  <c r="A377" i="7"/>
  <c r="A376" i="7"/>
  <c r="A375" i="7"/>
  <c r="A374" i="7"/>
  <c r="A373" i="7"/>
  <c r="A372" i="7"/>
  <c r="A371" i="7"/>
  <c r="A370" i="7"/>
  <c r="A369" i="7"/>
  <c r="A368" i="7"/>
  <c r="A367" i="7"/>
  <c r="A366" i="7"/>
  <c r="A365" i="7"/>
  <c r="A364" i="7"/>
  <c r="A363" i="7"/>
  <c r="A362" i="7"/>
  <c r="A361" i="7"/>
  <c r="A360" i="7"/>
  <c r="A359" i="7"/>
  <c r="A358" i="7"/>
  <c r="A357" i="7"/>
  <c r="A356" i="7"/>
  <c r="A355" i="7"/>
  <c r="A354" i="7"/>
  <c r="A353" i="7"/>
  <c r="A352" i="7"/>
  <c r="A351" i="7"/>
  <c r="A350" i="7"/>
  <c r="A349" i="7"/>
  <c r="A348" i="7"/>
  <c r="A347" i="7"/>
  <c r="A346" i="7"/>
  <c r="A345" i="7"/>
  <c r="A344" i="7"/>
  <c r="A343" i="7"/>
  <c r="A342" i="7"/>
  <c r="A341" i="7"/>
  <c r="A340" i="7"/>
  <c r="A339" i="7"/>
  <c r="A338" i="7"/>
  <c r="A337" i="7"/>
  <c r="A336" i="7"/>
  <c r="A335" i="7"/>
  <c r="A334" i="7"/>
  <c r="A333" i="7"/>
  <c r="A332" i="7"/>
  <c r="A331" i="7"/>
  <c r="A330" i="7"/>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2"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H146" i="7"/>
  <c r="F146" i="7"/>
  <c r="A146" i="7"/>
  <c r="H145" i="7"/>
  <c r="F145" i="7"/>
  <c r="A145" i="7"/>
  <c r="H144" i="7"/>
  <c r="F144" i="7"/>
  <c r="A144" i="7"/>
  <c r="H143" i="7"/>
  <c r="F143" i="7"/>
  <c r="A143" i="7"/>
  <c r="H142" i="7"/>
  <c r="F142" i="7"/>
  <c r="A142" i="7"/>
  <c r="H141" i="7"/>
  <c r="F141" i="7"/>
  <c r="A141" i="7"/>
  <c r="H140" i="7"/>
  <c r="F140" i="7"/>
  <c r="A140" i="7"/>
  <c r="H139" i="7"/>
  <c r="F139" i="7"/>
  <c r="A139" i="7"/>
  <c r="H138" i="7"/>
  <c r="F138" i="7"/>
  <c r="A138" i="7"/>
  <c r="H137" i="7"/>
  <c r="F137" i="7"/>
  <c r="A137" i="7"/>
  <c r="H136" i="7"/>
  <c r="F136" i="7"/>
  <c r="A136" i="7"/>
  <c r="H135" i="7"/>
  <c r="F135" i="7"/>
  <c r="A135" i="7"/>
  <c r="H134" i="7"/>
  <c r="F134" i="7"/>
  <c r="A134" i="7"/>
  <c r="H133" i="7"/>
  <c r="F133" i="7"/>
  <c r="A133" i="7"/>
  <c r="H132" i="7"/>
  <c r="F132" i="7"/>
  <c r="A132" i="7"/>
  <c r="H131" i="7"/>
  <c r="F131" i="7"/>
  <c r="A131" i="7"/>
  <c r="H130" i="7"/>
  <c r="F130" i="7"/>
  <c r="A130" i="7"/>
  <c r="H129" i="7"/>
  <c r="F129" i="7"/>
  <c r="A129" i="7"/>
  <c r="H128" i="7"/>
  <c r="F128" i="7"/>
  <c r="A128" i="7"/>
  <c r="H127" i="7"/>
  <c r="F127" i="7"/>
  <c r="A127" i="7"/>
  <c r="H126" i="7"/>
  <c r="F126" i="7"/>
  <c r="A126" i="7"/>
  <c r="H125" i="7"/>
  <c r="F125" i="7"/>
  <c r="A125" i="7"/>
  <c r="H124" i="7"/>
  <c r="F124" i="7"/>
  <c r="A124" i="7"/>
  <c r="H123" i="7"/>
  <c r="F123" i="7"/>
  <c r="A123" i="7"/>
  <c r="H122" i="7"/>
  <c r="F122" i="7"/>
  <c r="A122" i="7"/>
  <c r="H121" i="7"/>
  <c r="F121" i="7"/>
  <c r="A121" i="7"/>
  <c r="H120" i="7"/>
  <c r="F120" i="7"/>
  <c r="A120" i="7"/>
  <c r="H119" i="7"/>
  <c r="F119" i="7"/>
  <c r="A119" i="7"/>
  <c r="H118" i="7"/>
  <c r="F118" i="7"/>
  <c r="A118" i="7"/>
  <c r="H117" i="7"/>
  <c r="F117" i="7"/>
  <c r="A117" i="7"/>
  <c r="H116" i="7"/>
  <c r="F116" i="7"/>
  <c r="A116" i="7"/>
  <c r="H115" i="7"/>
  <c r="F115" i="7"/>
  <c r="A115" i="7"/>
  <c r="H114" i="7"/>
  <c r="F114" i="7"/>
  <c r="A114" i="7"/>
  <c r="H113" i="7"/>
  <c r="F113" i="7"/>
  <c r="A113" i="7"/>
  <c r="H112" i="7"/>
  <c r="F112" i="7"/>
  <c r="A112" i="7"/>
  <c r="H111" i="7"/>
  <c r="F111" i="7"/>
  <c r="A111" i="7"/>
  <c r="H110" i="7"/>
  <c r="F110" i="7"/>
  <c r="A110" i="7"/>
  <c r="H109" i="7"/>
  <c r="F109" i="7"/>
  <c r="A109" i="7"/>
  <c r="H108" i="7"/>
  <c r="F108" i="7"/>
  <c r="A108" i="7"/>
  <c r="H107" i="7"/>
  <c r="F107" i="7"/>
  <c r="A107" i="7"/>
  <c r="H106" i="7"/>
  <c r="F106" i="7"/>
  <c r="A106" i="7"/>
  <c r="H105" i="7"/>
  <c r="F105" i="7"/>
  <c r="A105" i="7"/>
  <c r="H104" i="7"/>
  <c r="F104" i="7"/>
  <c r="A104" i="7"/>
  <c r="H103" i="7"/>
  <c r="F103" i="7"/>
  <c r="A103" i="7"/>
  <c r="H102" i="7"/>
  <c r="F102" i="7"/>
  <c r="A102" i="7"/>
  <c r="H101" i="7"/>
  <c r="F101" i="7"/>
  <c r="A101" i="7"/>
  <c r="H100" i="7"/>
  <c r="F100" i="7"/>
  <c r="A100" i="7"/>
  <c r="H99" i="7"/>
  <c r="F99" i="7"/>
  <c r="A99" i="7"/>
  <c r="H98" i="7"/>
  <c r="F98" i="7"/>
  <c r="A98" i="7"/>
  <c r="H97" i="7"/>
  <c r="F97" i="7"/>
  <c r="A97" i="7"/>
  <c r="H96" i="7"/>
  <c r="F96" i="7"/>
  <c r="A96" i="7"/>
  <c r="H95" i="7"/>
  <c r="F95" i="7"/>
  <c r="A95" i="7"/>
  <c r="H94" i="7"/>
  <c r="F94" i="7"/>
  <c r="A94" i="7"/>
  <c r="H93" i="7"/>
  <c r="F93" i="7"/>
  <c r="A93" i="7"/>
  <c r="H92" i="7"/>
  <c r="F92" i="7"/>
  <c r="A92" i="7"/>
  <c r="H91" i="7"/>
  <c r="F91" i="7"/>
  <c r="A91" i="7"/>
  <c r="H90" i="7"/>
  <c r="F90" i="7"/>
  <c r="A90" i="7"/>
  <c r="H89" i="7"/>
  <c r="F89" i="7"/>
  <c r="A89" i="7"/>
  <c r="H88" i="7"/>
  <c r="F88" i="7"/>
  <c r="A88" i="7"/>
  <c r="H87" i="7"/>
  <c r="F87" i="7"/>
  <c r="A87" i="7"/>
  <c r="H86" i="7"/>
  <c r="F86" i="7"/>
  <c r="A86" i="7"/>
  <c r="H85" i="7"/>
  <c r="F85" i="7"/>
  <c r="A85" i="7"/>
  <c r="H84" i="7"/>
  <c r="F84" i="7"/>
  <c r="A84" i="7"/>
  <c r="H83" i="7"/>
  <c r="F83" i="7"/>
  <c r="A83" i="7"/>
  <c r="H82" i="7"/>
  <c r="F82" i="7"/>
  <c r="A82" i="7"/>
  <c r="H81" i="7"/>
  <c r="F81" i="7"/>
  <c r="A81" i="7"/>
  <c r="H80" i="7"/>
  <c r="F80" i="7"/>
  <c r="A80" i="7"/>
  <c r="H79" i="7"/>
  <c r="F79" i="7"/>
  <c r="A79" i="7"/>
  <c r="H78" i="7"/>
  <c r="F78" i="7"/>
  <c r="A78" i="7"/>
  <c r="H77" i="7"/>
  <c r="F77" i="7"/>
  <c r="A77" i="7"/>
  <c r="H76" i="7"/>
  <c r="F76" i="7"/>
  <c r="A76" i="7"/>
  <c r="H75" i="7"/>
  <c r="F75" i="7"/>
  <c r="A75" i="7"/>
  <c r="H74" i="7"/>
  <c r="F74" i="7"/>
  <c r="A74" i="7"/>
  <c r="H73" i="7"/>
  <c r="F73" i="7"/>
  <c r="A73" i="7"/>
  <c r="H72" i="7"/>
  <c r="F72" i="7"/>
  <c r="A72" i="7"/>
  <c r="H71" i="7"/>
  <c r="F71" i="7"/>
  <c r="A71" i="7"/>
  <c r="H70" i="7"/>
  <c r="F70" i="7"/>
  <c r="A70" i="7"/>
  <c r="H69" i="7"/>
  <c r="F69" i="7"/>
  <c r="A69" i="7"/>
  <c r="H68" i="7"/>
  <c r="F68" i="7"/>
  <c r="A68" i="7"/>
  <c r="H67" i="7"/>
  <c r="F67" i="7"/>
  <c r="A67" i="7"/>
  <c r="H66" i="7"/>
  <c r="F66" i="7"/>
  <c r="A66" i="7"/>
  <c r="H65" i="7"/>
  <c r="F65" i="7"/>
  <c r="A65" i="7"/>
  <c r="H64" i="7"/>
  <c r="F64" i="7"/>
  <c r="A64" i="7"/>
  <c r="H63" i="7"/>
  <c r="F63" i="7"/>
  <c r="A63" i="7"/>
  <c r="H62" i="7"/>
  <c r="F62" i="7"/>
  <c r="A62" i="7"/>
  <c r="H61" i="7"/>
  <c r="F61" i="7"/>
  <c r="A61" i="7"/>
  <c r="H60" i="7"/>
  <c r="F60" i="7"/>
  <c r="A60" i="7"/>
  <c r="H59" i="7"/>
  <c r="F59" i="7"/>
  <c r="A59" i="7"/>
  <c r="H58" i="7"/>
  <c r="F58" i="7"/>
  <c r="A58" i="7"/>
  <c r="H57" i="7"/>
  <c r="F57" i="7"/>
  <c r="A57" i="7"/>
  <c r="H56" i="7"/>
  <c r="F56" i="7"/>
  <c r="A56" i="7"/>
  <c r="H55" i="7"/>
  <c r="F55" i="7"/>
  <c r="A55" i="7"/>
  <c r="H54" i="7"/>
  <c r="F54" i="7"/>
  <c r="A54" i="7"/>
  <c r="H53" i="7"/>
  <c r="F53" i="7"/>
  <c r="A53" i="7"/>
  <c r="H52" i="7"/>
  <c r="F52" i="7"/>
  <c r="A52" i="7"/>
  <c r="H51" i="7"/>
  <c r="F51" i="7"/>
  <c r="A51" i="7"/>
  <c r="H50" i="7"/>
  <c r="F50" i="7"/>
  <c r="A50" i="7"/>
  <c r="H49" i="7"/>
  <c r="F49" i="7"/>
  <c r="A49" i="7"/>
  <c r="H48" i="7"/>
  <c r="F48" i="7"/>
  <c r="A48" i="7"/>
  <c r="H47" i="7"/>
  <c r="F47" i="7"/>
  <c r="A47" i="7"/>
  <c r="H46" i="7"/>
  <c r="F46" i="7"/>
  <c r="A46" i="7"/>
  <c r="H45" i="7"/>
  <c r="F45" i="7"/>
  <c r="A45" i="7"/>
  <c r="H44" i="7"/>
  <c r="F44" i="7"/>
  <c r="A44" i="7"/>
  <c r="H43" i="7"/>
  <c r="F43" i="7"/>
  <c r="A43" i="7"/>
  <c r="H42" i="7"/>
  <c r="F42" i="7"/>
  <c r="A42" i="7"/>
  <c r="H41" i="7"/>
  <c r="F41" i="7"/>
  <c r="A41" i="7"/>
  <c r="H40" i="7"/>
  <c r="F40" i="7"/>
  <c r="A40" i="7"/>
  <c r="H39" i="7"/>
  <c r="F39" i="7"/>
  <c r="A39" i="7"/>
  <c r="H38" i="7"/>
  <c r="F38" i="7"/>
  <c r="A38" i="7"/>
  <c r="H37" i="7"/>
  <c r="F37" i="7"/>
  <c r="A37" i="7"/>
  <c r="H36" i="7"/>
  <c r="F36" i="7"/>
  <c r="A36" i="7"/>
  <c r="H35" i="7"/>
  <c r="F35" i="7"/>
  <c r="A35" i="7"/>
  <c r="H34" i="7"/>
  <c r="F34" i="7"/>
  <c r="A34" i="7"/>
  <c r="H33" i="7"/>
  <c r="F33" i="7"/>
  <c r="A33" i="7"/>
  <c r="H32" i="7"/>
  <c r="F32" i="7"/>
  <c r="A32" i="7"/>
  <c r="H31" i="7"/>
  <c r="F31" i="7"/>
  <c r="A31" i="7"/>
  <c r="H30" i="7"/>
  <c r="F30" i="7"/>
  <c r="A30" i="7"/>
  <c r="H29" i="7"/>
  <c r="F29" i="7"/>
  <c r="A29" i="7"/>
  <c r="H28" i="7"/>
  <c r="F28" i="7"/>
  <c r="A28" i="7"/>
  <c r="H27" i="7"/>
  <c r="F27" i="7"/>
  <c r="A27" i="7"/>
  <c r="H26" i="7"/>
  <c r="F26" i="7"/>
  <c r="A26" i="7"/>
  <c r="H25" i="7"/>
  <c r="F25" i="7"/>
  <c r="A25" i="7"/>
  <c r="H24" i="7"/>
  <c r="F24" i="7"/>
  <c r="A24" i="7"/>
  <c r="H23" i="7"/>
  <c r="F23" i="7"/>
  <c r="A23" i="7"/>
  <c r="H22" i="7"/>
  <c r="F22" i="7"/>
  <c r="A22" i="7"/>
  <c r="H21" i="7"/>
  <c r="F21" i="7"/>
  <c r="A21" i="7"/>
  <c r="H20" i="7"/>
  <c r="F20" i="7"/>
  <c r="A20" i="7"/>
  <c r="H19" i="7"/>
  <c r="F19" i="7"/>
  <c r="A19" i="7"/>
  <c r="H18" i="7"/>
  <c r="F18" i="7"/>
  <c r="A18" i="7"/>
  <c r="S17" i="7"/>
  <c r="U17" i="7" s="1"/>
  <c r="K17" i="7"/>
  <c r="K16" i="7" s="1"/>
  <c r="H17" i="7"/>
  <c r="F17" i="7"/>
  <c r="A17" i="7"/>
  <c r="H16" i="7"/>
  <c r="F16" i="7"/>
  <c r="A16" i="7"/>
  <c r="H15" i="7"/>
  <c r="F15" i="7"/>
  <c r="A15" i="7"/>
  <c r="H14" i="7"/>
  <c r="F14" i="7"/>
  <c r="A14" i="7"/>
  <c r="H13" i="7"/>
  <c r="F13" i="7"/>
  <c r="A13" i="7"/>
  <c r="H12" i="7"/>
  <c r="F12" i="7"/>
  <c r="A12" i="7"/>
  <c r="H11" i="7"/>
  <c r="F11" i="7"/>
  <c r="A11" i="7"/>
  <c r="H10" i="7"/>
  <c r="F10" i="7"/>
  <c r="A10" i="7"/>
  <c r="H9" i="7"/>
  <c r="F9" i="7"/>
  <c r="A9" i="7"/>
  <c r="H8" i="7"/>
  <c r="F8" i="7"/>
  <c r="A8" i="7"/>
  <c r="J37" i="6"/>
  <c r="J39" i="6" s="1"/>
  <c r="I37" i="6"/>
  <c r="I39" i="6" s="1"/>
  <c r="H37" i="6"/>
  <c r="H39" i="6" s="1"/>
  <c r="G37" i="6"/>
  <c r="F37" i="6"/>
  <c r="E37" i="6"/>
  <c r="E41" i="6" s="1"/>
  <c r="D37" i="6"/>
  <c r="D41" i="6" s="1"/>
  <c r="C37" i="6"/>
  <c r="B37" i="6"/>
  <c r="J19" i="6"/>
  <c r="J21" i="6" s="1"/>
  <c r="H19" i="6"/>
  <c r="H21" i="6" s="1"/>
  <c r="G19" i="6"/>
  <c r="G23" i="6" s="1"/>
  <c r="F19" i="6"/>
  <c r="F23" i="6" s="1"/>
  <c r="E19" i="6"/>
  <c r="E23" i="6" s="1"/>
  <c r="D19" i="6"/>
  <c r="D23" i="6" s="1"/>
  <c r="C19" i="6"/>
  <c r="C23" i="6" s="1"/>
  <c r="B19" i="6"/>
  <c r="A3" i="6"/>
  <c r="A2" i="6" s="1"/>
  <c r="I41" i="4"/>
  <c r="G41" i="4"/>
  <c r="E41" i="4"/>
  <c r="I40" i="4"/>
  <c r="G40" i="4"/>
  <c r="E40" i="4"/>
  <c r="I39" i="4"/>
  <c r="G39" i="4"/>
  <c r="E39" i="4"/>
  <c r="I38" i="4"/>
  <c r="G38" i="4"/>
  <c r="E38" i="4"/>
  <c r="I37" i="4"/>
  <c r="G37" i="4"/>
  <c r="E37" i="4"/>
  <c r="I36" i="4"/>
  <c r="G36" i="4"/>
  <c r="E36" i="4"/>
  <c r="I35" i="4"/>
  <c r="G35" i="4"/>
  <c r="E35" i="4"/>
  <c r="I34" i="4"/>
  <c r="G34" i="4"/>
  <c r="E34" i="4"/>
  <c r="I33" i="4"/>
  <c r="G33" i="4"/>
  <c r="E33" i="4"/>
  <c r="I32" i="4"/>
  <c r="G32" i="4"/>
  <c r="E32" i="4"/>
  <c r="I31" i="4"/>
  <c r="G31" i="4"/>
  <c r="E31" i="4"/>
  <c r="I30" i="4"/>
  <c r="G30" i="4"/>
  <c r="E30" i="4"/>
  <c r="I29" i="4"/>
  <c r="G29" i="4"/>
  <c r="E29" i="4"/>
  <c r="I28" i="4"/>
  <c r="G28" i="4"/>
  <c r="E28" i="4"/>
  <c r="I27" i="4"/>
  <c r="G27" i="4"/>
  <c r="E27" i="4"/>
  <c r="I26" i="4"/>
  <c r="G26" i="4"/>
  <c r="E26" i="4"/>
  <c r="I25" i="4"/>
  <c r="G25" i="4"/>
  <c r="E25" i="4"/>
  <c r="I24" i="4"/>
  <c r="G24" i="4"/>
  <c r="E24" i="4"/>
  <c r="I23" i="4"/>
  <c r="G23" i="4"/>
  <c r="E23" i="4"/>
  <c r="I22" i="4"/>
  <c r="G22" i="4"/>
  <c r="E22" i="4"/>
  <c r="I21" i="4"/>
  <c r="G21" i="4"/>
  <c r="E21" i="4"/>
  <c r="I20" i="4"/>
  <c r="G20" i="4"/>
  <c r="E20" i="4"/>
  <c r="I19" i="4"/>
  <c r="G19" i="4"/>
  <c r="E19" i="4"/>
  <c r="I18" i="4"/>
  <c r="G18" i="4"/>
  <c r="E18" i="4"/>
  <c r="I17" i="4"/>
  <c r="G17" i="4"/>
  <c r="E17" i="4"/>
  <c r="I16" i="4"/>
  <c r="G16" i="4"/>
  <c r="E16" i="4"/>
  <c r="I15" i="4"/>
  <c r="G15" i="4"/>
  <c r="E15" i="4"/>
  <c r="I14" i="4"/>
  <c r="G14" i="4"/>
  <c r="E14" i="4"/>
  <c r="I13" i="4"/>
  <c r="G13" i="4"/>
  <c r="E13" i="4"/>
  <c r="I12" i="4"/>
  <c r="G12" i="4"/>
  <c r="E12" i="4"/>
  <c r="I11" i="4"/>
  <c r="G11" i="4"/>
  <c r="E11" i="4"/>
  <c r="B11" i="4"/>
  <c r="B12" i="4" s="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I10" i="4"/>
  <c r="G10" i="4"/>
  <c r="E10" i="4"/>
  <c r="I9" i="4"/>
  <c r="G9" i="4"/>
  <c r="E9" i="4"/>
  <c r="B9" i="4"/>
  <c r="B10" i="4" s="1"/>
  <c r="A9" i="4"/>
  <c r="I8" i="4"/>
  <c r="G8" i="4"/>
  <c r="E8" i="4"/>
  <c r="C8" i="4"/>
  <c r="DL1" i="15"/>
  <c r="CA1" i="16"/>
  <c r="EX1" i="15"/>
  <c r="P1" i="6"/>
  <c r="BX1" i="15"/>
  <c r="X1" i="6"/>
  <c r="GH1" i="15"/>
  <c r="DB1" i="16"/>
  <c r="AZ1" i="16"/>
  <c r="AY1" i="16"/>
  <c r="EH1" i="15"/>
  <c r="FW1" i="15"/>
  <c r="CS1" i="15"/>
  <c r="DE1" i="15"/>
  <c r="F1" i="15"/>
  <c r="BQ1" i="15"/>
  <c r="L1" i="6"/>
  <c r="EE1" i="15"/>
  <c r="DF1" i="15"/>
  <c r="CC1" i="16"/>
  <c r="GA1" i="15"/>
  <c r="DX1" i="15"/>
  <c r="FX1" i="15"/>
  <c r="AF1" i="14"/>
  <c r="EA1" i="15"/>
  <c r="X1" i="15"/>
  <c r="R1" i="14"/>
  <c r="M1" i="14"/>
  <c r="DQ1" i="15"/>
  <c r="I1" i="15"/>
  <c r="EP1" i="15"/>
  <c r="T1" i="15"/>
  <c r="AI1" i="15"/>
  <c r="B1" i="14"/>
  <c r="FK1" i="15"/>
  <c r="BT1" i="15"/>
  <c r="AH1" i="16"/>
  <c r="AI1" i="14"/>
  <c r="AY1" i="14"/>
  <c r="AS1" i="14"/>
  <c r="AA1" i="15"/>
  <c r="AC1" i="16"/>
  <c r="EY1" i="15"/>
  <c r="K1" i="6"/>
  <c r="CG1" i="15"/>
  <c r="D1" i="15"/>
  <c r="B1" i="6"/>
  <c r="P1" i="15"/>
  <c r="N1" i="14"/>
  <c r="H1" i="14"/>
  <c r="DC1" i="16"/>
  <c r="CN1" i="16"/>
  <c r="B1" i="16"/>
  <c r="BA1" i="15"/>
  <c r="W1" i="16"/>
  <c r="FD1" i="15"/>
  <c r="H1" i="15"/>
  <c r="BH1" i="15"/>
  <c r="BY1" i="16"/>
  <c r="AB1" i="16"/>
  <c r="EW1" i="15"/>
  <c r="GB1" i="15"/>
  <c r="FI1" i="15"/>
  <c r="AL1" i="15"/>
  <c r="BE1" i="16"/>
  <c r="BM1" i="15"/>
  <c r="AN1" i="16"/>
  <c r="DD1" i="15"/>
  <c r="DN1" i="15"/>
  <c r="CI1" i="16"/>
  <c r="T1" i="14"/>
  <c r="G1" i="14"/>
  <c r="O1" i="6"/>
  <c r="ET1" i="15"/>
  <c r="CM1" i="16"/>
  <c r="GG1" i="15"/>
  <c r="GE1" i="15"/>
  <c r="J1" i="15"/>
  <c r="DG1" i="15"/>
  <c r="FH1" i="15"/>
  <c r="Z1" i="6"/>
  <c r="K1" i="14"/>
  <c r="V1" i="14"/>
  <c r="DS1" i="15"/>
  <c r="Q1" i="6"/>
  <c r="BS1" i="16"/>
  <c r="O1" i="15"/>
  <c r="BK1" i="15"/>
  <c r="AH1" i="14"/>
  <c r="V1" i="6"/>
  <c r="AF1" i="16"/>
  <c r="BB1" i="15"/>
  <c r="GD1" i="15"/>
  <c r="AD1" i="14"/>
  <c r="E1" i="14"/>
  <c r="BD1" i="14"/>
  <c r="EL1" i="15"/>
  <c r="AW1" i="14"/>
  <c r="ED1" i="15"/>
  <c r="DW1" i="15"/>
  <c r="R1" i="15"/>
  <c r="CU1" i="16"/>
  <c r="EC1" i="15"/>
  <c r="S1" i="16"/>
  <c r="BU1" i="16"/>
  <c r="AQ1" i="15"/>
  <c r="CD1" i="16"/>
  <c r="T1" i="6"/>
  <c r="AG1" i="15"/>
  <c r="AQ1" i="14"/>
  <c r="AP1" i="15"/>
  <c r="BZ1" i="16"/>
  <c r="AR1" i="14"/>
  <c r="CX1" i="16"/>
  <c r="EK1" i="15"/>
  <c r="P1" i="14"/>
  <c r="Z1" i="15"/>
  <c r="CD1" i="15"/>
  <c r="CM1" i="15"/>
  <c r="FE1" i="15"/>
  <c r="H3" i="11"/>
  <c r="AG1" i="14"/>
  <c r="BW1" i="15"/>
  <c r="AS1" i="16"/>
  <c r="R1" i="6"/>
  <c r="AM1" i="16"/>
  <c r="EJ1" i="15"/>
  <c r="EQ1" i="15"/>
  <c r="B7" i="13"/>
  <c r="AU1" i="14"/>
  <c r="K1" i="16"/>
  <c r="FC1" i="15"/>
  <c r="S1" i="15"/>
  <c r="DI1" i="15"/>
  <c r="BD1" i="16"/>
  <c r="EG1" i="15"/>
  <c r="EZ1" i="15"/>
  <c r="C1" i="15"/>
  <c r="BC1" i="16"/>
  <c r="AJ1" i="16"/>
  <c r="H1" i="16"/>
  <c r="AD1" i="15"/>
  <c r="G1" i="16"/>
  <c r="CS1" i="16"/>
  <c r="BH1" i="16"/>
  <c r="CF1" i="15"/>
  <c r="W1" i="14"/>
  <c r="BJ1" i="16"/>
  <c r="CV1" i="15"/>
  <c r="AX1" i="15"/>
  <c r="CP1" i="16"/>
  <c r="AB1" i="14"/>
  <c r="BI1" i="15"/>
  <c r="GF1" i="15"/>
  <c r="Y1" i="16"/>
  <c r="CL1" i="15"/>
  <c r="FV1" i="15"/>
  <c r="D1" i="14"/>
  <c r="N1" i="15"/>
  <c r="CH1" i="15"/>
  <c r="AR1" i="16"/>
  <c r="AK1" i="15"/>
  <c r="S1" i="14"/>
  <c r="CB1" i="15"/>
  <c r="BL1" i="16"/>
  <c r="DK1" i="15"/>
  <c r="BG1" i="15"/>
  <c r="BR1" i="16"/>
  <c r="AY1" i="15"/>
  <c r="X1" i="16"/>
  <c r="CO1" i="16"/>
  <c r="Q1" i="16"/>
  <c r="I1" i="14"/>
  <c r="DD1" i="16"/>
  <c r="CT1" i="15"/>
  <c r="EB1" i="15"/>
  <c r="EU1" i="15"/>
  <c r="CK1" i="15"/>
  <c r="CU1" i="15"/>
  <c r="L1" i="15"/>
  <c r="H3" i="8"/>
  <c r="BO1" i="15"/>
  <c r="FN1" i="15"/>
  <c r="AM1" i="15"/>
  <c r="BF1" i="16"/>
  <c r="M1" i="16"/>
  <c r="DB1" i="15"/>
  <c r="FF1" i="15"/>
  <c r="CW1" i="16"/>
  <c r="AX1" i="14"/>
  <c r="I1" i="16"/>
  <c r="BW1" i="16"/>
  <c r="AK1" i="14"/>
  <c r="U1" i="15"/>
  <c r="BC1" i="15"/>
  <c r="O1" i="16"/>
  <c r="AC1" i="14"/>
  <c r="BP1" i="16"/>
  <c r="Y1" i="6"/>
  <c r="O1" i="14"/>
  <c r="DJ1" i="15"/>
  <c r="AX1" i="16"/>
  <c r="BV1" i="15"/>
  <c r="R1" i="16"/>
  <c r="AR1" i="15"/>
  <c r="FG1" i="15"/>
  <c r="BN1" i="15"/>
  <c r="Y1" i="14"/>
  <c r="CY1" i="15"/>
  <c r="BI1" i="16"/>
  <c r="BF1" i="15"/>
  <c r="AE1" i="15"/>
  <c r="Y1" i="15"/>
  <c r="X1" i="14"/>
  <c r="CP1" i="15"/>
  <c r="BK1" i="16"/>
  <c r="EM1" i="15"/>
  <c r="DA1" i="16"/>
  <c r="L1" i="14"/>
  <c r="M3" i="9"/>
  <c r="BE1" i="15"/>
  <c r="CF1" i="16"/>
  <c r="BO1" i="16"/>
  <c r="FM1" i="15"/>
  <c r="EF1" i="15"/>
  <c r="AH1" i="15"/>
  <c r="CZ1" i="16"/>
  <c r="AN1" i="15"/>
  <c r="AV1" i="14"/>
  <c r="CW1" i="15"/>
  <c r="L1" i="16"/>
  <c r="DH1" i="15"/>
  <c r="C1" i="6"/>
  <c r="BM1" i="16"/>
  <c r="DP1" i="15"/>
  <c r="CQ1" i="15"/>
  <c r="BZ1" i="15"/>
  <c r="CR1" i="16"/>
  <c r="AT1" i="14"/>
  <c r="C1" i="14"/>
  <c r="FO1" i="15"/>
  <c r="U1" i="16"/>
  <c r="FY1" i="15"/>
  <c r="Q1" i="14"/>
  <c r="EO1" i="15"/>
  <c r="BL1" i="15"/>
  <c r="CG1" i="16"/>
  <c r="BB1" i="14"/>
  <c r="N1" i="6"/>
  <c r="W1" i="6"/>
  <c r="AQ1" i="16"/>
  <c r="FJ1" i="15"/>
  <c r="CT1" i="16"/>
  <c r="AZ1" i="15"/>
  <c r="AB1" i="15"/>
  <c r="AD1" i="16"/>
  <c r="B1" i="15"/>
  <c r="W1" i="15"/>
  <c r="BY1" i="15"/>
  <c r="AK1" i="16"/>
  <c r="EV1" i="15"/>
  <c r="AN1" i="14"/>
  <c r="EI1" i="15"/>
  <c r="AL1" i="16"/>
  <c r="V1" i="16"/>
  <c r="Z1" i="14"/>
  <c r="AG1" i="16"/>
  <c r="ER1" i="15"/>
  <c r="BG1" i="14"/>
  <c r="CB1" i="16"/>
  <c r="M1" i="6"/>
  <c r="AT1" i="15"/>
  <c r="BX1" i="16"/>
  <c r="FR1" i="15"/>
  <c r="AZ1" i="14"/>
  <c r="AV1" i="15"/>
  <c r="AW1" i="15"/>
  <c r="AE1" i="14"/>
  <c r="U1" i="6"/>
  <c r="FP1" i="15"/>
  <c r="AA1" i="16"/>
  <c r="FA1" i="15"/>
  <c r="CV1" i="16"/>
  <c r="FS1" i="15"/>
  <c r="BA1" i="14"/>
  <c r="AO1" i="14"/>
  <c r="CI1" i="15"/>
  <c r="BS1" i="15"/>
  <c r="AU1" i="16"/>
  <c r="J1" i="14"/>
  <c r="CA1" i="15"/>
  <c r="AF1" i="15"/>
  <c r="BP1" i="15"/>
  <c r="DO1" i="15"/>
  <c r="FB1" i="15"/>
  <c r="GC1" i="15"/>
  <c r="CQ1" i="16"/>
  <c r="CO1" i="15"/>
  <c r="CJ1" i="16"/>
  <c r="AP1" i="16"/>
  <c r="AA1" i="14"/>
  <c r="Z1" i="16"/>
  <c r="K1" i="15"/>
  <c r="AV1" i="16"/>
  <c r="BN1" i="16"/>
  <c r="BR1" i="15"/>
  <c r="Q1" i="15"/>
  <c r="J1" i="16"/>
  <c r="CE1" i="16"/>
  <c r="BD1" i="15"/>
  <c r="BJ1" i="15"/>
  <c r="BA1" i="16"/>
  <c r="AJ1" i="15"/>
  <c r="BC1" i="14"/>
  <c r="CE1" i="15"/>
  <c r="DR1" i="15"/>
  <c r="CL1" i="16"/>
  <c r="DT1" i="15"/>
  <c r="DC1" i="15"/>
  <c r="CY1" i="16"/>
  <c r="D1" i="16"/>
  <c r="FQ1" i="15"/>
  <c r="T1" i="16"/>
  <c r="AT1" i="16"/>
  <c r="CC1" i="15"/>
  <c r="U1" i="14"/>
  <c r="BU1" i="15"/>
  <c r="V1" i="15"/>
  <c r="EN1" i="15"/>
  <c r="FU1" i="15"/>
  <c r="BB1" i="16"/>
  <c r="CR1" i="15"/>
  <c r="AU1" i="15"/>
  <c r="N1" i="16"/>
  <c r="E1" i="15"/>
  <c r="AE1" i="16"/>
  <c r="G1" i="15"/>
  <c r="C7" i="13"/>
  <c r="DZ1" i="15"/>
  <c r="AC1" i="15"/>
  <c r="F1" i="16"/>
  <c r="M1" i="15"/>
  <c r="DV1" i="15"/>
  <c r="CX1" i="15"/>
  <c r="DM1" i="15"/>
  <c r="AO1" i="15"/>
  <c r="ES1" i="15"/>
  <c r="CJ1" i="15"/>
  <c r="BG1" i="16"/>
  <c r="CZ1" i="15"/>
  <c r="AJ1" i="14"/>
  <c r="DA1" i="15"/>
  <c r="C1" i="16"/>
  <c r="FL1" i="15"/>
  <c r="E1" i="16"/>
  <c r="FT1" i="15"/>
  <c r="CK1" i="16"/>
  <c r="BF1" i="14"/>
  <c r="S1" i="6"/>
  <c r="AS1" i="15"/>
  <c r="FZ1" i="15"/>
  <c r="BV1" i="16"/>
  <c r="BQ1" i="16"/>
  <c r="F1" i="14"/>
  <c r="DY1" i="15"/>
  <c r="BE1" i="14"/>
  <c r="DU1" i="15"/>
  <c r="BT1" i="16"/>
  <c r="AI1" i="16"/>
  <c r="CH1" i="16"/>
  <c r="P1" i="16"/>
  <c r="AO1" i="16"/>
  <c r="CN1" i="15"/>
  <c r="AW1" i="16"/>
  <c r="B20" i="13" l="1" a="1"/>
  <c r="B20" i="13" s="1"/>
  <c r="B41" i="6"/>
  <c r="F41" i="6"/>
  <c r="G41" i="6"/>
  <c r="I41" i="6"/>
  <c r="B23" i="6"/>
  <c r="J41" i="6"/>
  <c r="J23" i="6"/>
  <c r="C21" i="5" s="1" a="1"/>
  <c r="C21" i="5" s="1"/>
  <c r="R68" i="17"/>
  <c r="U63" i="17"/>
  <c r="AC69" i="17"/>
  <c r="R62" i="17"/>
  <c r="AC63" i="17"/>
  <c r="AM75" i="17"/>
  <c r="AP64" i="17"/>
  <c r="B20" i="5" a="1"/>
  <c r="B20" i="5" s="1"/>
  <c r="C17" i="5" a="1"/>
  <c r="C17" i="5" s="1"/>
  <c r="X17" i="7"/>
  <c r="L17" i="7"/>
  <c r="T17" i="7"/>
  <c r="B9" i="13" a="1"/>
  <c r="B9" i="13" s="1"/>
  <c r="C9" i="13" a="1"/>
  <c r="C9" i="13" s="1"/>
  <c r="T16" i="12"/>
  <c r="S16" i="12"/>
  <c r="R16" i="12"/>
  <c r="Q16" i="12"/>
  <c r="P16" i="12"/>
  <c r="O16" i="12"/>
  <c r="N15" i="12"/>
  <c r="C148" i="12"/>
  <c r="C27" i="12"/>
  <c r="C54" i="12"/>
  <c r="C56" i="12"/>
  <c r="C84" i="12"/>
  <c r="C106" i="12"/>
  <c r="C113" i="12"/>
  <c r="C134" i="12"/>
  <c r="C142" i="12"/>
  <c r="C153" i="12"/>
  <c r="C157" i="12"/>
  <c r="C166" i="12"/>
  <c r="C173" i="12"/>
  <c r="C182" i="12"/>
  <c r="C189" i="12"/>
  <c r="C184" i="12"/>
  <c r="C13" i="12"/>
  <c r="C192" i="12"/>
  <c r="C168" i="12"/>
  <c r="C30" i="12"/>
  <c r="C42" i="12"/>
  <c r="C46" i="12"/>
  <c r="C52" i="12"/>
  <c r="C57" i="12"/>
  <c r="C74" i="12"/>
  <c r="C85" i="12"/>
  <c r="C102" i="12"/>
  <c r="C111" i="12"/>
  <c r="C122" i="12"/>
  <c r="C126" i="12"/>
  <c r="C132" i="12"/>
  <c r="C145" i="12"/>
  <c r="C164" i="12"/>
  <c r="C180" i="12"/>
  <c r="C28" i="12"/>
  <c r="C53" i="12"/>
  <c r="C62" i="12"/>
  <c r="C68" i="12"/>
  <c r="C79" i="12"/>
  <c r="C94" i="12"/>
  <c r="C100" i="12"/>
  <c r="C105" i="12"/>
  <c r="C133" i="12"/>
  <c r="C135" i="12"/>
  <c r="C141" i="12"/>
  <c r="C154" i="12"/>
  <c r="C165" i="12"/>
  <c r="C174" i="12"/>
  <c r="C181" i="12"/>
  <c r="C190" i="12"/>
  <c r="C11" i="12"/>
  <c r="O17" i="12"/>
  <c r="P17" i="12"/>
  <c r="T17" i="12"/>
  <c r="S17" i="12"/>
  <c r="R17" i="12"/>
  <c r="Q17" i="12"/>
  <c r="C18" i="12"/>
  <c r="C26" i="12"/>
  <c r="C49" i="12"/>
  <c r="C77" i="12"/>
  <c r="C90" i="12"/>
  <c r="C103" i="12"/>
  <c r="C129" i="12"/>
  <c r="C150" i="12"/>
  <c r="C170" i="12"/>
  <c r="C186" i="12"/>
  <c r="AD17" i="12"/>
  <c r="K17" i="11"/>
  <c r="AB17" i="9"/>
  <c r="P16" i="9"/>
  <c r="X16" i="9"/>
  <c r="Q16" i="9"/>
  <c r="U7" i="5"/>
  <c r="C15" i="5" a="1"/>
  <c r="C15" i="5" s="1"/>
  <c r="B10" i="13" a="1"/>
  <c r="B10" i="13" s="1"/>
  <c r="C18" i="13" a="1"/>
  <c r="C18" i="13" s="1"/>
  <c r="C12" i="5" a="1"/>
  <c r="C12" i="5" s="1"/>
  <c r="B9" i="5" a="1"/>
  <c r="B9" i="5" s="1"/>
  <c r="B16" i="5" a="1"/>
  <c r="B16" i="5" s="1"/>
  <c r="B15" i="13" a="1"/>
  <c r="B15" i="13" s="1"/>
  <c r="J9" i="5"/>
  <c r="B13" i="5" a="1"/>
  <c r="B13" i="5" s="1"/>
  <c r="D7" i="13"/>
  <c r="C15" i="13" a="1"/>
  <c r="C15" i="13" s="1"/>
  <c r="B10" i="5" a="1"/>
  <c r="B10" i="5" s="1"/>
  <c r="B14" i="5" a="1"/>
  <c r="B14" i="5" s="1"/>
  <c r="C16" i="5" a="1"/>
  <c r="C16" i="5" s="1"/>
  <c r="U7" i="13"/>
  <c r="M15" i="13"/>
  <c r="C10" i="5" a="1"/>
  <c r="C10" i="5" s="1"/>
  <c r="C14" i="5" a="1"/>
  <c r="C14" i="5" s="1"/>
  <c r="C19" i="5" a="1"/>
  <c r="C19" i="5" s="1"/>
  <c r="C11" i="13" a="1"/>
  <c r="C11" i="13" s="1"/>
  <c r="B18" i="5" a="1"/>
  <c r="B18" i="5" s="1"/>
  <c r="D7" i="5"/>
  <c r="B11" i="5" a="1"/>
  <c r="B11" i="5" s="1"/>
  <c r="M14" i="5"/>
  <c r="B12" i="13" a="1"/>
  <c r="B12" i="13" s="1"/>
  <c r="T7" i="5"/>
  <c r="C11" i="5" a="1"/>
  <c r="C11" i="5" s="1"/>
  <c r="B15" i="5" a="1"/>
  <c r="B15" i="5" s="1"/>
  <c r="C12" i="13" a="1"/>
  <c r="C12" i="13" s="1"/>
  <c r="C13" i="13" a="1"/>
  <c r="C13" i="13" s="1"/>
  <c r="S103" i="15"/>
  <c r="V103" i="15"/>
  <c r="N103" i="15"/>
  <c r="T103" i="15"/>
  <c r="H23" i="6"/>
  <c r="B21" i="5" s="1" a="1"/>
  <c r="B21" i="5" s="1"/>
  <c r="B19" i="5" a="1"/>
  <c r="B19" i="5" s="1"/>
  <c r="H41" i="6"/>
  <c r="P16" i="7"/>
  <c r="P17" i="7"/>
  <c r="Q17" i="7" s="1"/>
  <c r="C9" i="4"/>
  <c r="N102" i="16"/>
  <c r="H19" i="8"/>
  <c r="N19" i="8"/>
  <c r="N16" i="7"/>
  <c r="K15" i="7"/>
  <c r="A10" i="4"/>
  <c r="A6" i="5"/>
  <c r="C9" i="5" a="1"/>
  <c r="C9" i="5" s="1"/>
  <c r="B17" i="5" a="1"/>
  <c r="B17" i="5" s="1"/>
  <c r="C18" i="5" a="1"/>
  <c r="C18" i="5" s="1"/>
  <c r="C41" i="6"/>
  <c r="L16" i="7"/>
  <c r="P17" i="9"/>
  <c r="I17" i="11"/>
  <c r="L17" i="11" s="1"/>
  <c r="H15" i="11"/>
  <c r="K16" i="11"/>
  <c r="I16" i="11"/>
  <c r="N17" i="7"/>
  <c r="M17" i="7" s="1"/>
  <c r="B12" i="5" a="1"/>
  <c r="B12" i="5" s="1"/>
  <c r="C13" i="5" a="1"/>
  <c r="C13" i="5" s="1"/>
  <c r="N17" i="9"/>
  <c r="N16" i="9"/>
  <c r="S16" i="9"/>
  <c r="Q17" i="9"/>
  <c r="V17" i="7"/>
  <c r="W17" i="7" s="1"/>
  <c r="S16" i="7"/>
  <c r="S17" i="9"/>
  <c r="AB16" i="9"/>
  <c r="Q17" i="11"/>
  <c r="P17" i="11" s="1"/>
  <c r="C161" i="12"/>
  <c r="C177" i="12"/>
  <c r="C197" i="12"/>
  <c r="C229" i="12"/>
  <c r="C261" i="12"/>
  <c r="AD16" i="9"/>
  <c r="AD17" i="9"/>
  <c r="M15" i="9"/>
  <c r="C34" i="12"/>
  <c r="C38" i="12"/>
  <c r="C97" i="12"/>
  <c r="C109" i="12"/>
  <c r="Q103" i="15"/>
  <c r="N1" i="12"/>
  <c r="N2" i="12" s="1"/>
  <c r="N3" i="12" s="1"/>
  <c r="C16" i="12"/>
  <c r="C50" i="12"/>
  <c r="C58" i="12"/>
  <c r="C114" i="12"/>
  <c r="Y17" i="9"/>
  <c r="Z17" i="9" s="1"/>
  <c r="AC16" i="12"/>
  <c r="AD16" i="12" s="1"/>
  <c r="AB16" i="12"/>
  <c r="C8" i="12"/>
  <c r="X16" i="12"/>
  <c r="C33" i="12"/>
  <c r="C65" i="12"/>
  <c r="C196" i="12"/>
  <c r="C212" i="12"/>
  <c r="C228" i="12"/>
  <c r="C244" i="12"/>
  <c r="C260" i="12"/>
  <c r="C276" i="12"/>
  <c r="C204" i="12"/>
  <c r="C220" i="12"/>
  <c r="C236" i="12"/>
  <c r="C252" i="12"/>
  <c r="C268" i="12"/>
  <c r="B19" i="13" a="1"/>
  <c r="B19" i="13" s="1"/>
  <c r="B18" i="13" a="1"/>
  <c r="B18" i="13" s="1"/>
  <c r="T7" i="13"/>
  <c r="B16" i="13" a="1"/>
  <c r="B16" i="13" s="1"/>
  <c r="B21" i="13" a="1"/>
  <c r="B21" i="13" s="1"/>
  <c r="M18" i="13"/>
  <c r="B17" i="13" a="1"/>
  <c r="B17" i="13" s="1"/>
  <c r="A6" i="13"/>
  <c r="B13" i="13" a="1"/>
  <c r="B13" i="13" s="1"/>
  <c r="P103" i="15"/>
  <c r="C205" i="12"/>
  <c r="C221" i="12"/>
  <c r="C237" i="12"/>
  <c r="C253" i="12"/>
  <c r="C269" i="12"/>
  <c r="B11" i="13" a="1"/>
  <c r="B11" i="13" s="1"/>
  <c r="B14" i="13" a="1"/>
  <c r="B14" i="13" s="1"/>
  <c r="Q102" i="16"/>
  <c r="S101" i="16"/>
  <c r="W102" i="16"/>
  <c r="O102" i="16"/>
  <c r="Q101" i="16"/>
  <c r="U101" i="16"/>
  <c r="V102" i="16"/>
  <c r="S102" i="16"/>
  <c r="X62" i="17"/>
  <c r="Z62" i="17"/>
  <c r="AK63" i="17"/>
  <c r="AY64" i="17"/>
  <c r="AN70" i="17"/>
  <c r="C10" i="13" a="1"/>
  <c r="C10" i="13" s="1"/>
  <c r="C14" i="13" a="1"/>
  <c r="C14" i="13" s="1"/>
  <c r="M103" i="15"/>
  <c r="U103" i="15"/>
  <c r="AH62" i="17"/>
  <c r="AS63" i="17"/>
  <c r="G65" i="17"/>
  <c r="AY71" i="17"/>
  <c r="AR17" i="14"/>
  <c r="AP62" i="17"/>
  <c r="BA63" i="17"/>
  <c r="P65" i="17"/>
  <c r="I73" i="17"/>
  <c r="O103" i="15"/>
  <c r="AX62" i="17"/>
  <c r="H64" i="17"/>
  <c r="AC65" i="17"/>
  <c r="T74" i="17"/>
  <c r="K15" i="20"/>
  <c r="C21" i="13" a="1"/>
  <c r="C21" i="13" s="1"/>
  <c r="A22" i="13"/>
  <c r="C19" i="13" a="1"/>
  <c r="C19" i="13" s="1"/>
  <c r="C20" i="13" a="1"/>
  <c r="C20" i="13" s="1"/>
  <c r="C17" i="13" a="1"/>
  <c r="C17" i="13" s="1"/>
  <c r="AR13" i="14"/>
  <c r="AN62" i="17"/>
  <c r="E63" i="17"/>
  <c r="P64" i="17"/>
  <c r="AY65" i="17"/>
  <c r="AE75" i="17"/>
  <c r="B62" i="17"/>
  <c r="M63" i="17"/>
  <c r="X64" i="17"/>
  <c r="G67" i="17"/>
  <c r="I17" i="20"/>
  <c r="J9" i="13"/>
  <c r="C16" i="13" a="1"/>
  <c r="C16" i="13" s="1"/>
  <c r="R103" i="15"/>
  <c r="P102" i="16"/>
  <c r="J62" i="17"/>
  <c r="AF64" i="17"/>
  <c r="T101" i="16"/>
  <c r="R102" i="16"/>
  <c r="I62" i="17"/>
  <c r="Q62" i="17"/>
  <c r="Y62" i="17"/>
  <c r="AG62" i="17"/>
  <c r="AO62" i="17"/>
  <c r="AW62" i="17"/>
  <c r="D63" i="17"/>
  <c r="L63" i="17"/>
  <c r="T63" i="17"/>
  <c r="AB63" i="17"/>
  <c r="AJ63" i="17"/>
  <c r="AR63" i="17"/>
  <c r="AZ63" i="17"/>
  <c r="G64" i="17"/>
  <c r="O64" i="17"/>
  <c r="W64" i="17"/>
  <c r="AE64" i="17"/>
  <c r="AN64" i="17"/>
  <c r="AX64" i="17"/>
  <c r="F65" i="17"/>
  <c r="O65" i="17"/>
  <c r="AA65" i="17"/>
  <c r="AW65" i="17"/>
  <c r="AZ66" i="17"/>
  <c r="J68" i="17"/>
  <c r="U69" i="17"/>
  <c r="AF70" i="17"/>
  <c r="AQ71" i="17"/>
  <c r="BB72" i="17"/>
  <c r="L74" i="17"/>
  <c r="W75" i="17"/>
  <c r="N101" i="16"/>
  <c r="V101" i="16"/>
  <c r="T102" i="16"/>
  <c r="C62" i="17"/>
  <c r="K62" i="17"/>
  <c r="S62" i="17"/>
  <c r="AA62" i="17"/>
  <c r="AI62" i="17"/>
  <c r="AQ62" i="17"/>
  <c r="AY62" i="17"/>
  <c r="F63" i="17"/>
  <c r="N63" i="17"/>
  <c r="V63" i="17"/>
  <c r="AD63" i="17"/>
  <c r="AL63" i="17"/>
  <c r="AT63" i="17"/>
  <c r="BB63" i="17"/>
  <c r="I64" i="17"/>
  <c r="Q64" i="17"/>
  <c r="Y64" i="17"/>
  <c r="AH64" i="17"/>
  <c r="AQ64" i="17"/>
  <c r="AZ64" i="17"/>
  <c r="H65" i="17"/>
  <c r="Q65" i="17"/>
  <c r="AE65" i="17"/>
  <c r="D66" i="17"/>
  <c r="O67" i="17"/>
  <c r="Z68" i="17"/>
  <c r="AK69" i="17"/>
  <c r="AV70" i="17"/>
  <c r="F72" i="17"/>
  <c r="Q73" i="17"/>
  <c r="AB74" i="17"/>
  <c r="I15" i="20"/>
  <c r="H14" i="20"/>
  <c r="J15" i="20"/>
  <c r="O101" i="16"/>
  <c r="W101" i="16"/>
  <c r="U102" i="16"/>
  <c r="BA75" i="17"/>
  <c r="AS75" i="17"/>
  <c r="AK75" i="17"/>
  <c r="AC75" i="17"/>
  <c r="U75" i="17"/>
  <c r="M75" i="17"/>
  <c r="E75" i="17"/>
  <c r="AX74" i="17"/>
  <c r="AP74" i="17"/>
  <c r="AH74" i="17"/>
  <c r="Z74" i="17"/>
  <c r="R74" i="17"/>
  <c r="J74" i="17"/>
  <c r="B74" i="17"/>
  <c r="AU73" i="17"/>
  <c r="AM73" i="17"/>
  <c r="AE73" i="17"/>
  <c r="W73" i="17"/>
  <c r="O73" i="17"/>
  <c r="G73" i="17"/>
  <c r="AZ72" i="17"/>
  <c r="AR72" i="17"/>
  <c r="AJ72" i="17"/>
  <c r="AB72" i="17"/>
  <c r="T72" i="17"/>
  <c r="L72" i="17"/>
  <c r="D72" i="17"/>
  <c r="AW71" i="17"/>
  <c r="AO71" i="17"/>
  <c r="AG71" i="17"/>
  <c r="Y71" i="17"/>
  <c r="Q71" i="17"/>
  <c r="I71" i="17"/>
  <c r="BB70" i="17"/>
  <c r="AT70" i="17"/>
  <c r="AL70" i="17"/>
  <c r="AD70" i="17"/>
  <c r="V70" i="17"/>
  <c r="N70" i="17"/>
  <c r="F70" i="17"/>
  <c r="AY69" i="17"/>
  <c r="AQ69" i="17"/>
  <c r="AI69" i="17"/>
  <c r="AA69" i="17"/>
  <c r="S69" i="17"/>
  <c r="K69" i="17"/>
  <c r="C69" i="17"/>
  <c r="AV68" i="17"/>
  <c r="AN68" i="17"/>
  <c r="AF68" i="17"/>
  <c r="X68" i="17"/>
  <c r="P68" i="17"/>
  <c r="H68" i="17"/>
  <c r="BA67" i="17"/>
  <c r="AS67" i="17"/>
  <c r="AK67" i="17"/>
  <c r="AC67" i="17"/>
  <c r="U67" i="17"/>
  <c r="M67" i="17"/>
  <c r="E67" i="17"/>
  <c r="AX66" i="17"/>
  <c r="AP66" i="17"/>
  <c r="AH66" i="17"/>
  <c r="Z66" i="17"/>
  <c r="R66" i="17"/>
  <c r="J66" i="17"/>
  <c r="B66" i="17"/>
  <c r="AU65" i="17"/>
  <c r="AZ75" i="17"/>
  <c r="AR75" i="17"/>
  <c r="AJ75" i="17"/>
  <c r="AB75" i="17"/>
  <c r="T75" i="17"/>
  <c r="L75" i="17"/>
  <c r="D75" i="17"/>
  <c r="AW74" i="17"/>
  <c r="AO74" i="17"/>
  <c r="AG74" i="17"/>
  <c r="Y74" i="17"/>
  <c r="Q74" i="17"/>
  <c r="I74" i="17"/>
  <c r="BB73" i="17"/>
  <c r="AT73" i="17"/>
  <c r="AL73" i="17"/>
  <c r="AD73" i="17"/>
  <c r="V73" i="17"/>
  <c r="N73" i="17"/>
  <c r="F73" i="17"/>
  <c r="AY72" i="17"/>
  <c r="AQ72" i="17"/>
  <c r="AI72" i="17"/>
  <c r="AA72" i="17"/>
  <c r="S72" i="17"/>
  <c r="K72" i="17"/>
  <c r="C72" i="17"/>
  <c r="AV71" i="17"/>
  <c r="AN71" i="17"/>
  <c r="AF71" i="17"/>
  <c r="X71" i="17"/>
  <c r="P71" i="17"/>
  <c r="H71" i="17"/>
  <c r="BA70" i="17"/>
  <c r="AS70" i="17"/>
  <c r="AK70" i="17"/>
  <c r="AC70" i="17"/>
  <c r="U70" i="17"/>
  <c r="M70" i="17"/>
  <c r="E70" i="17"/>
  <c r="AX69" i="17"/>
  <c r="AP69" i="17"/>
  <c r="AH69" i="17"/>
  <c r="Z69" i="17"/>
  <c r="R69" i="17"/>
  <c r="J69" i="17"/>
  <c r="B69" i="17"/>
  <c r="AU68" i="17"/>
  <c r="AM68" i="17"/>
  <c r="AE68" i="17"/>
  <c r="W68" i="17"/>
  <c r="O68" i="17"/>
  <c r="G68" i="17"/>
  <c r="AZ67" i="17"/>
  <c r="AR67" i="17"/>
  <c r="AJ67" i="17"/>
  <c r="AB67" i="17"/>
  <c r="T67" i="17"/>
  <c r="L67" i="17"/>
  <c r="D67" i="17"/>
  <c r="AW66" i="17"/>
  <c r="AO66" i="17"/>
  <c r="AG66" i="17"/>
  <c r="Y66" i="17"/>
  <c r="Q66" i="17"/>
  <c r="I66" i="17"/>
  <c r="BB65" i="17"/>
  <c r="AT65" i="17"/>
  <c r="AL65" i="17"/>
  <c r="AD65" i="17"/>
  <c r="V65" i="17"/>
  <c r="AY75" i="17"/>
  <c r="AQ75" i="17"/>
  <c r="AI75" i="17"/>
  <c r="AA75" i="17"/>
  <c r="S75" i="17"/>
  <c r="K75" i="17"/>
  <c r="C75" i="17"/>
  <c r="AV74" i="17"/>
  <c r="AN74" i="17"/>
  <c r="AF74" i="17"/>
  <c r="X74" i="17"/>
  <c r="P74" i="17"/>
  <c r="H74" i="17"/>
  <c r="BA73" i="17"/>
  <c r="AS73" i="17"/>
  <c r="AK73" i="17"/>
  <c r="AC73" i="17"/>
  <c r="U73" i="17"/>
  <c r="M73" i="17"/>
  <c r="E73" i="17"/>
  <c r="AX72" i="17"/>
  <c r="AP72" i="17"/>
  <c r="AH72" i="17"/>
  <c r="Z72" i="17"/>
  <c r="R72" i="17"/>
  <c r="J72" i="17"/>
  <c r="B72" i="17"/>
  <c r="AU71" i="17"/>
  <c r="AM71" i="17"/>
  <c r="AE71" i="17"/>
  <c r="W71" i="17"/>
  <c r="O71" i="17"/>
  <c r="G71" i="17"/>
  <c r="AZ70" i="17"/>
  <c r="AR70" i="17"/>
  <c r="AJ70" i="17"/>
  <c r="AB70" i="17"/>
  <c r="T70" i="17"/>
  <c r="L70" i="17"/>
  <c r="D70" i="17"/>
  <c r="AW69" i="17"/>
  <c r="AO69" i="17"/>
  <c r="AG69" i="17"/>
  <c r="Y69" i="17"/>
  <c r="Q69" i="17"/>
  <c r="I69" i="17"/>
  <c r="BB68" i="17"/>
  <c r="AT68" i="17"/>
  <c r="AL68" i="17"/>
  <c r="AD68" i="17"/>
  <c r="V68" i="17"/>
  <c r="N68" i="17"/>
  <c r="F68" i="17"/>
  <c r="AY67" i="17"/>
  <c r="AQ67" i="17"/>
  <c r="AI67" i="17"/>
  <c r="AA67" i="17"/>
  <c r="S67" i="17"/>
  <c r="K67" i="17"/>
  <c r="C67" i="17"/>
  <c r="AV66" i="17"/>
  <c r="AN66" i="17"/>
  <c r="AF66" i="17"/>
  <c r="X66" i="17"/>
  <c r="P66" i="17"/>
  <c r="H66" i="17"/>
  <c r="BA65" i="17"/>
  <c r="AS65" i="17"/>
  <c r="AK65" i="17"/>
  <c r="AX75" i="17"/>
  <c r="AP75" i="17"/>
  <c r="AH75" i="17"/>
  <c r="Z75" i="17"/>
  <c r="R75" i="17"/>
  <c r="J75" i="17"/>
  <c r="B75" i="17"/>
  <c r="AU74" i="17"/>
  <c r="AM74" i="17"/>
  <c r="AE74" i="17"/>
  <c r="W74" i="17"/>
  <c r="O74" i="17"/>
  <c r="G74" i="17"/>
  <c r="AZ73" i="17"/>
  <c r="AR73" i="17"/>
  <c r="AJ73" i="17"/>
  <c r="AB73" i="17"/>
  <c r="T73" i="17"/>
  <c r="L73" i="17"/>
  <c r="D73" i="17"/>
  <c r="AW72" i="17"/>
  <c r="AO72" i="17"/>
  <c r="AG72" i="17"/>
  <c r="Y72" i="17"/>
  <c r="Q72" i="17"/>
  <c r="I72" i="17"/>
  <c r="BB71" i="17"/>
  <c r="AT71" i="17"/>
  <c r="AL71" i="17"/>
  <c r="AD71" i="17"/>
  <c r="V71" i="17"/>
  <c r="N71" i="17"/>
  <c r="F71" i="17"/>
  <c r="AY70" i="17"/>
  <c r="AQ70" i="17"/>
  <c r="AI70" i="17"/>
  <c r="AA70" i="17"/>
  <c r="S70" i="17"/>
  <c r="K70" i="17"/>
  <c r="C70" i="17"/>
  <c r="AV69" i="17"/>
  <c r="AN69" i="17"/>
  <c r="AF69" i="17"/>
  <c r="X69" i="17"/>
  <c r="P69" i="17"/>
  <c r="H69" i="17"/>
  <c r="BA68" i="17"/>
  <c r="AS68" i="17"/>
  <c r="AK68" i="17"/>
  <c r="AC68" i="17"/>
  <c r="U68" i="17"/>
  <c r="M68" i="17"/>
  <c r="E68" i="17"/>
  <c r="AX67" i="17"/>
  <c r="AP67" i="17"/>
  <c r="AH67" i="17"/>
  <c r="Z67" i="17"/>
  <c r="R67" i="17"/>
  <c r="J67" i="17"/>
  <c r="B67" i="17"/>
  <c r="AU66" i="17"/>
  <c r="AM66" i="17"/>
  <c r="AE66" i="17"/>
  <c r="W66" i="17"/>
  <c r="O66" i="17"/>
  <c r="G66" i="17"/>
  <c r="AZ65" i="17"/>
  <c r="AR65" i="17"/>
  <c r="AJ65" i="17"/>
  <c r="AB65" i="17"/>
  <c r="T65" i="17"/>
  <c r="L65" i="17"/>
  <c r="D65" i="17"/>
  <c r="AW64" i="17"/>
  <c r="AO64" i="17"/>
  <c r="AG64" i="17"/>
  <c r="AW75" i="17"/>
  <c r="AO75" i="17"/>
  <c r="AG75" i="17"/>
  <c r="Y75" i="17"/>
  <c r="Q75" i="17"/>
  <c r="I75" i="17"/>
  <c r="BB74" i="17"/>
  <c r="AT74" i="17"/>
  <c r="AL74" i="17"/>
  <c r="AD74" i="17"/>
  <c r="V74" i="17"/>
  <c r="N74" i="17"/>
  <c r="F74" i="17"/>
  <c r="AY73" i="17"/>
  <c r="AQ73" i="17"/>
  <c r="AI73" i="17"/>
  <c r="AA73" i="17"/>
  <c r="S73" i="17"/>
  <c r="K73" i="17"/>
  <c r="C73" i="17"/>
  <c r="AV72" i="17"/>
  <c r="AN72" i="17"/>
  <c r="AF72" i="17"/>
  <c r="X72" i="17"/>
  <c r="P72" i="17"/>
  <c r="H72" i="17"/>
  <c r="BA71" i="17"/>
  <c r="AS71" i="17"/>
  <c r="AK71" i="17"/>
  <c r="AC71" i="17"/>
  <c r="U71" i="17"/>
  <c r="M71" i="17"/>
  <c r="E71" i="17"/>
  <c r="AX70" i="17"/>
  <c r="AP70" i="17"/>
  <c r="AH70" i="17"/>
  <c r="Z70" i="17"/>
  <c r="R70" i="17"/>
  <c r="J70" i="17"/>
  <c r="B70" i="17"/>
  <c r="AU69" i="17"/>
  <c r="AM69" i="17"/>
  <c r="AE69" i="17"/>
  <c r="W69" i="17"/>
  <c r="O69" i="17"/>
  <c r="G69" i="17"/>
  <c r="AZ68" i="17"/>
  <c r="AR68" i="17"/>
  <c r="AJ68" i="17"/>
  <c r="AB68" i="17"/>
  <c r="T68" i="17"/>
  <c r="L68" i="17"/>
  <c r="D68" i="17"/>
  <c r="AW67" i="17"/>
  <c r="AO67" i="17"/>
  <c r="AG67" i="17"/>
  <c r="Y67" i="17"/>
  <c r="Q67" i="17"/>
  <c r="I67" i="17"/>
  <c r="BB66" i="17"/>
  <c r="AT66" i="17"/>
  <c r="AL66" i="17"/>
  <c r="AD66" i="17"/>
  <c r="V66" i="17"/>
  <c r="N66" i="17"/>
  <c r="F66" i="17"/>
  <c r="AV75" i="17"/>
  <c r="AN75" i="17"/>
  <c r="AF75" i="17"/>
  <c r="X75" i="17"/>
  <c r="P75" i="17"/>
  <c r="H75" i="17"/>
  <c r="BA74" i="17"/>
  <c r="AS74" i="17"/>
  <c r="AK74" i="17"/>
  <c r="AC74" i="17"/>
  <c r="U74" i="17"/>
  <c r="M74" i="17"/>
  <c r="E74" i="17"/>
  <c r="AX73" i="17"/>
  <c r="AP73" i="17"/>
  <c r="AH73" i="17"/>
  <c r="Z73" i="17"/>
  <c r="R73" i="17"/>
  <c r="J73" i="17"/>
  <c r="B73" i="17"/>
  <c r="AU72" i="17"/>
  <c r="AM72" i="17"/>
  <c r="AE72" i="17"/>
  <c r="W72" i="17"/>
  <c r="O72" i="17"/>
  <c r="G72" i="17"/>
  <c r="AZ71" i="17"/>
  <c r="AR71" i="17"/>
  <c r="AJ71" i="17"/>
  <c r="AB71" i="17"/>
  <c r="T71" i="17"/>
  <c r="L71" i="17"/>
  <c r="D71" i="17"/>
  <c r="AW70" i="17"/>
  <c r="AO70" i="17"/>
  <c r="AG70" i="17"/>
  <c r="Y70" i="17"/>
  <c r="Q70" i="17"/>
  <c r="I70" i="17"/>
  <c r="BB69" i="17"/>
  <c r="AT69" i="17"/>
  <c r="AL69" i="17"/>
  <c r="AD69" i="17"/>
  <c r="V69" i="17"/>
  <c r="N69" i="17"/>
  <c r="F69" i="17"/>
  <c r="AY68" i="17"/>
  <c r="AQ68" i="17"/>
  <c r="AI68" i="17"/>
  <c r="AA68" i="17"/>
  <c r="S68" i="17"/>
  <c r="K68" i="17"/>
  <c r="C68" i="17"/>
  <c r="AV67" i="17"/>
  <c r="AN67" i="17"/>
  <c r="AF67" i="17"/>
  <c r="X67" i="17"/>
  <c r="P67" i="17"/>
  <c r="H67" i="17"/>
  <c r="BA66" i="17"/>
  <c r="AS66" i="17"/>
  <c r="AK66" i="17"/>
  <c r="AC66" i="17"/>
  <c r="U66" i="17"/>
  <c r="M66" i="17"/>
  <c r="E66" i="17"/>
  <c r="AX65" i="17"/>
  <c r="AP65" i="17"/>
  <c r="AH65" i="17"/>
  <c r="Z65" i="17"/>
  <c r="R65" i="17"/>
  <c r="BB75" i="17"/>
  <c r="AT75" i="17"/>
  <c r="AL75" i="17"/>
  <c r="AD75" i="17"/>
  <c r="V75" i="17"/>
  <c r="N75" i="17"/>
  <c r="F75" i="17"/>
  <c r="AY74" i="17"/>
  <c r="AQ74" i="17"/>
  <c r="AI74" i="17"/>
  <c r="AA74" i="17"/>
  <c r="S74" i="17"/>
  <c r="K74" i="17"/>
  <c r="C74" i="17"/>
  <c r="AV73" i="17"/>
  <c r="AN73" i="17"/>
  <c r="AF73" i="17"/>
  <c r="X73" i="17"/>
  <c r="P73" i="17"/>
  <c r="H73" i="17"/>
  <c r="BA72" i="17"/>
  <c r="AS72" i="17"/>
  <c r="AK72" i="17"/>
  <c r="AC72" i="17"/>
  <c r="U72" i="17"/>
  <c r="M72" i="17"/>
  <c r="E72" i="17"/>
  <c r="AX71" i="17"/>
  <c r="AP71" i="17"/>
  <c r="AH71" i="17"/>
  <c r="Z71" i="17"/>
  <c r="R71" i="17"/>
  <c r="J71" i="17"/>
  <c r="B71" i="17"/>
  <c r="AU70" i="17"/>
  <c r="AM70" i="17"/>
  <c r="AE70" i="17"/>
  <c r="W70" i="17"/>
  <c r="O70" i="17"/>
  <c r="G70" i="17"/>
  <c r="AZ69" i="17"/>
  <c r="AR69" i="17"/>
  <c r="AJ69" i="17"/>
  <c r="AB69" i="17"/>
  <c r="T69" i="17"/>
  <c r="L69" i="17"/>
  <c r="D69" i="17"/>
  <c r="AW68" i="17"/>
  <c r="AO68" i="17"/>
  <c r="AG68" i="17"/>
  <c r="Y68" i="17"/>
  <c r="Q68" i="17"/>
  <c r="I68" i="17"/>
  <c r="BB67" i="17"/>
  <c r="AT67" i="17"/>
  <c r="AL67" i="17"/>
  <c r="AD67" i="17"/>
  <c r="V67" i="17"/>
  <c r="N67" i="17"/>
  <c r="F67" i="17"/>
  <c r="AY66" i="17"/>
  <c r="AQ66" i="17"/>
  <c r="AI66" i="17"/>
  <c r="AA66" i="17"/>
  <c r="S66" i="17"/>
  <c r="K66" i="17"/>
  <c r="C66" i="17"/>
  <c r="AV65" i="17"/>
  <c r="AN65" i="17"/>
  <c r="AF65" i="17"/>
  <c r="D62" i="17"/>
  <c r="L62" i="17"/>
  <c r="T62" i="17"/>
  <c r="AB62" i="17"/>
  <c r="AJ62" i="17"/>
  <c r="AR62" i="17"/>
  <c r="AZ62" i="17"/>
  <c r="G63" i="17"/>
  <c r="O63" i="17"/>
  <c r="W63" i="17"/>
  <c r="AE63" i="17"/>
  <c r="AM63" i="17"/>
  <c r="AU63" i="17"/>
  <c r="B64" i="17"/>
  <c r="J64" i="17"/>
  <c r="R64" i="17"/>
  <c r="Z64" i="17"/>
  <c r="AI64" i="17"/>
  <c r="AR64" i="17"/>
  <c r="BA64" i="17"/>
  <c r="I65" i="17"/>
  <c r="S65" i="17"/>
  <c r="AG65" i="17"/>
  <c r="L66" i="17"/>
  <c r="W67" i="17"/>
  <c r="AH68" i="17"/>
  <c r="AS69" i="17"/>
  <c r="C71" i="17"/>
  <c r="N72" i="17"/>
  <c r="Y73" i="17"/>
  <c r="AJ74" i="17"/>
  <c r="AU75" i="17"/>
  <c r="J16" i="20"/>
  <c r="E62" i="17"/>
  <c r="M62" i="17"/>
  <c r="U62" i="17"/>
  <c r="AC62" i="17"/>
  <c r="AK62" i="17"/>
  <c r="AS62" i="17"/>
  <c r="BA62" i="17"/>
  <c r="H63" i="17"/>
  <c r="P63" i="17"/>
  <c r="X63" i="17"/>
  <c r="AF63" i="17"/>
  <c r="AN63" i="17"/>
  <c r="AV63" i="17"/>
  <c r="C64" i="17"/>
  <c r="K64" i="17"/>
  <c r="S64" i="17"/>
  <c r="AA64" i="17"/>
  <c r="AJ64" i="17"/>
  <c r="AS64" i="17"/>
  <c r="BB64" i="17"/>
  <c r="J65" i="17"/>
  <c r="U65" i="17"/>
  <c r="AI65" i="17"/>
  <c r="T66" i="17"/>
  <c r="AE67" i="17"/>
  <c r="AP68" i="17"/>
  <c r="BA69" i="17"/>
  <c r="K71" i="17"/>
  <c r="V72" i="17"/>
  <c r="AG73" i="17"/>
  <c r="AR74" i="17"/>
  <c r="F62" i="17"/>
  <c r="N62" i="17"/>
  <c r="V62" i="17"/>
  <c r="AD62" i="17"/>
  <c r="AL62" i="17"/>
  <c r="AT62" i="17"/>
  <c r="BB62" i="17"/>
  <c r="I63" i="17"/>
  <c r="Q63" i="17"/>
  <c r="Y63" i="17"/>
  <c r="AG63" i="17"/>
  <c r="AO63" i="17"/>
  <c r="AW63" i="17"/>
  <c r="D64" i="17"/>
  <c r="L64" i="17"/>
  <c r="T64" i="17"/>
  <c r="AB64" i="17"/>
  <c r="AK64" i="17"/>
  <c r="AT64" i="17"/>
  <c r="B65" i="17"/>
  <c r="K65" i="17"/>
  <c r="W65" i="17"/>
  <c r="AM65" i="17"/>
  <c r="AB66" i="17"/>
  <c r="AM67" i="17"/>
  <c r="AX68" i="17"/>
  <c r="H70" i="17"/>
  <c r="S71" i="17"/>
  <c r="AD72" i="17"/>
  <c r="AO73" i="17"/>
  <c r="AZ74" i="17"/>
  <c r="K17" i="20"/>
  <c r="R101" i="16"/>
  <c r="G62" i="17"/>
  <c r="O62" i="17"/>
  <c r="W62" i="17"/>
  <c r="AE62" i="17"/>
  <c r="AM62" i="17"/>
  <c r="AU62" i="17"/>
  <c r="B63" i="17"/>
  <c r="J63" i="17"/>
  <c r="R63" i="17"/>
  <c r="Z63" i="17"/>
  <c r="AH63" i="17"/>
  <c r="AP63" i="17"/>
  <c r="AX63" i="17"/>
  <c r="E64" i="17"/>
  <c r="M64" i="17"/>
  <c r="U64" i="17"/>
  <c r="AC64" i="17"/>
  <c r="AL64" i="17"/>
  <c r="AU64" i="17"/>
  <c r="C65" i="17"/>
  <c r="M65" i="17"/>
  <c r="X65" i="17"/>
  <c r="AO65" i="17"/>
  <c r="AJ66" i="17"/>
  <c r="AU67" i="17"/>
  <c r="E69" i="17"/>
  <c r="P70" i="17"/>
  <c r="AA71" i="17"/>
  <c r="AL72" i="17"/>
  <c r="AW73" i="17"/>
  <c r="G75" i="17"/>
  <c r="H62" i="17"/>
  <c r="P62" i="17"/>
  <c r="AF62" i="17"/>
  <c r="AV62" i="17"/>
  <c r="C63" i="17"/>
  <c r="K63" i="17"/>
  <c r="S63" i="17"/>
  <c r="AA63" i="17"/>
  <c r="AI63" i="17"/>
  <c r="AQ63" i="17"/>
  <c r="AY63" i="17"/>
  <c r="F64" i="17"/>
  <c r="N64" i="17"/>
  <c r="V64" i="17"/>
  <c r="AD64" i="17"/>
  <c r="AM64" i="17"/>
  <c r="AV64" i="17"/>
  <c r="E65" i="17"/>
  <c r="N65" i="17"/>
  <c r="Y65" i="17"/>
  <c r="AQ65" i="17"/>
  <c r="AR66" i="17"/>
  <c r="B68" i="17"/>
  <c r="M69" i="17"/>
  <c r="X70" i="17"/>
  <c r="AI71" i="17"/>
  <c r="AT72" i="17"/>
  <c r="D74" i="17"/>
  <c r="O75" i="17"/>
  <c r="I16" i="20"/>
  <c r="K16" i="20"/>
  <c r="J17" i="20"/>
  <c r="N17" i="20"/>
  <c r="O17" i="20"/>
  <c r="D9" i="5" l="1"/>
  <c r="D20" i="5"/>
  <c r="E20" i="5" s="1"/>
  <c r="D17" i="5"/>
  <c r="E17" i="5" s="1"/>
  <c r="D9" i="13"/>
  <c r="E9" i="13" s="1"/>
  <c r="Y17" i="7"/>
  <c r="N14" i="12"/>
  <c r="S15" i="12"/>
  <c r="R15" i="12"/>
  <c r="Q15" i="12"/>
  <c r="P15" i="12"/>
  <c r="T15" i="12"/>
  <c r="O15" i="12"/>
  <c r="U17" i="12"/>
  <c r="U16" i="12"/>
  <c r="J17" i="11"/>
  <c r="L16" i="11"/>
  <c r="AC17" i="9"/>
  <c r="AC16" i="9"/>
  <c r="R16" i="9"/>
  <c r="O16" i="9"/>
  <c r="R17" i="9"/>
  <c r="Y16" i="9"/>
  <c r="AA16" i="9"/>
  <c r="X15" i="9"/>
  <c r="O17" i="9"/>
  <c r="D14" i="5"/>
  <c r="E14" i="5" s="1"/>
  <c r="D10" i="5"/>
  <c r="E10" i="5" s="1"/>
  <c r="D17" i="13"/>
  <c r="E17" i="13" s="1"/>
  <c r="D18" i="5"/>
  <c r="E18" i="5" s="1"/>
  <c r="D10" i="13"/>
  <c r="E10" i="13" s="1"/>
  <c r="E9" i="5"/>
  <c r="D12" i="5"/>
  <c r="E12" i="5" s="1"/>
  <c r="D15" i="5"/>
  <c r="E15" i="5" s="1"/>
  <c r="D16" i="13"/>
  <c r="E16" i="13" s="1"/>
  <c r="D13" i="5"/>
  <c r="E13" i="5" s="1"/>
  <c r="D16" i="5"/>
  <c r="E16" i="5" s="1"/>
  <c r="D11" i="13"/>
  <c r="E11" i="13" s="1"/>
  <c r="D15" i="13"/>
  <c r="E15" i="13" s="1"/>
  <c r="D18" i="13"/>
  <c r="E18" i="13" s="1"/>
  <c r="D13" i="13"/>
  <c r="E13" i="13" s="1"/>
  <c r="D21" i="13"/>
  <c r="E21" i="13" s="1"/>
  <c r="E21" i="5"/>
  <c r="D20" i="13"/>
  <c r="E20" i="13" s="1"/>
  <c r="D11" i="5"/>
  <c r="E11" i="5" s="1"/>
  <c r="E19" i="5"/>
  <c r="D12" i="13"/>
  <c r="E12" i="13" s="1"/>
  <c r="AQ34" i="14"/>
  <c r="AQ39" i="14"/>
  <c r="AQ30" i="14"/>
  <c r="AQ35" i="14"/>
  <c r="AQ27" i="14"/>
  <c r="AQ28" i="14"/>
  <c r="AQ29" i="14"/>
  <c r="AQ37" i="14"/>
  <c r="AQ31" i="14"/>
  <c r="AQ32" i="14"/>
  <c r="AQ33" i="14"/>
  <c r="AQ36" i="14"/>
  <c r="J14" i="20"/>
  <c r="I14" i="20"/>
  <c r="H13" i="20"/>
  <c r="K14" i="20"/>
  <c r="X16" i="7"/>
  <c r="V16" i="7"/>
  <c r="S15" i="7"/>
  <c r="T16" i="7"/>
  <c r="U16" i="7"/>
  <c r="J16" i="11"/>
  <c r="H18" i="8"/>
  <c r="K19" i="8"/>
  <c r="I19" i="8"/>
  <c r="K15" i="11"/>
  <c r="I15" i="11"/>
  <c r="H14" i="11"/>
  <c r="U16" i="9"/>
  <c r="O17" i="7"/>
  <c r="Z15" i="12"/>
  <c r="Y15" i="12"/>
  <c r="AA15" i="12"/>
  <c r="AC15" i="12"/>
  <c r="AB15" i="12"/>
  <c r="X15" i="12"/>
  <c r="Q15" i="9"/>
  <c r="P15" i="9"/>
  <c r="N15" i="9"/>
  <c r="S15" i="9"/>
  <c r="M14" i="9"/>
  <c r="AF17" i="9"/>
  <c r="U17" i="9"/>
  <c r="Q19" i="8"/>
  <c r="O19" i="8"/>
  <c r="N18" i="8"/>
  <c r="P16" i="20"/>
  <c r="O16" i="20"/>
  <c r="N16" i="20"/>
  <c r="D19" i="13"/>
  <c r="E19" i="13" s="1"/>
  <c r="AR12" i="14"/>
  <c r="AR22" i="14"/>
  <c r="AR16" i="14"/>
  <c r="AR20" i="14"/>
  <c r="AR11" i="14"/>
  <c r="AR15" i="14"/>
  <c r="AR10" i="14"/>
  <c r="AR19" i="14"/>
  <c r="AR18" i="14"/>
  <c r="D14" i="13"/>
  <c r="E14" i="13" s="1"/>
  <c r="Q16" i="11"/>
  <c r="O16" i="11"/>
  <c r="C10" i="4"/>
  <c r="A11" i="4"/>
  <c r="T16" i="9"/>
  <c r="V16" i="9"/>
  <c r="N15" i="7"/>
  <c r="L15" i="7"/>
  <c r="K14" i="7"/>
  <c r="P15" i="7"/>
  <c r="AR14" i="14"/>
  <c r="AG17" i="9"/>
  <c r="AE17" i="9"/>
  <c r="AF16" i="9"/>
  <c r="V17" i="9"/>
  <c r="T17" i="9"/>
  <c r="R17" i="11"/>
  <c r="Q16" i="7"/>
  <c r="O16" i="7"/>
  <c r="M16" i="7"/>
  <c r="U15" i="12" l="1"/>
  <c r="Q14" i="12"/>
  <c r="P14" i="12"/>
  <c r="O14" i="12"/>
  <c r="T14" i="12"/>
  <c r="R14" i="12"/>
  <c r="S14" i="12"/>
  <c r="N13" i="12"/>
  <c r="J15" i="11"/>
  <c r="Z16" i="9"/>
  <c r="U15" i="9"/>
  <c r="AA15" i="9"/>
  <c r="X14" i="9"/>
  <c r="AB15" i="9"/>
  <c r="Y15" i="9"/>
  <c r="AD15" i="9"/>
  <c r="AE16" i="9"/>
  <c r="AG16" i="9"/>
  <c r="O15" i="9"/>
  <c r="AD15" i="12"/>
  <c r="R16" i="11"/>
  <c r="K13" i="20"/>
  <c r="J13" i="20"/>
  <c r="I13" i="20"/>
  <c r="H12" i="20"/>
  <c r="P16" i="11"/>
  <c r="V15" i="9"/>
  <c r="T15" i="9"/>
  <c r="X14" i="12"/>
  <c r="AA14" i="12"/>
  <c r="Z14" i="12"/>
  <c r="Y14" i="12"/>
  <c r="AC14" i="12"/>
  <c r="AB14" i="12"/>
  <c r="L19" i="8"/>
  <c r="J19" i="8"/>
  <c r="L14" i="7"/>
  <c r="K13" i="7"/>
  <c r="P14" i="7"/>
  <c r="N14" i="7"/>
  <c r="O15" i="7"/>
  <c r="Q15" i="7"/>
  <c r="R19" i="8"/>
  <c r="P19" i="8"/>
  <c r="N17" i="8"/>
  <c r="Q18" i="8"/>
  <c r="O18" i="8"/>
  <c r="K18" i="8"/>
  <c r="I18" i="8"/>
  <c r="H17" i="8"/>
  <c r="M15" i="7"/>
  <c r="A12" i="4"/>
  <c r="C11" i="4"/>
  <c r="H13" i="11"/>
  <c r="K14" i="11"/>
  <c r="I14" i="11"/>
  <c r="W16" i="7"/>
  <c r="Y16" i="7"/>
  <c r="P15" i="20"/>
  <c r="O15" i="20"/>
  <c r="N15" i="20"/>
  <c r="L15" i="11"/>
  <c r="X15" i="7"/>
  <c r="T15" i="7"/>
  <c r="V15" i="7"/>
  <c r="S14" i="7"/>
  <c r="U15" i="7"/>
  <c r="Q15" i="11"/>
  <c r="O15" i="11"/>
  <c r="S14" i="9"/>
  <c r="M13" i="9"/>
  <c r="P14" i="9"/>
  <c r="N14" i="9"/>
  <c r="Q14" i="9"/>
  <c r="R15" i="9"/>
  <c r="O13" i="12" l="1"/>
  <c r="T13" i="12"/>
  <c r="S13" i="12"/>
  <c r="R13" i="12"/>
  <c r="Q13" i="12"/>
  <c r="P13" i="12"/>
  <c r="N12" i="12"/>
  <c r="U14" i="12"/>
  <c r="L14" i="11"/>
  <c r="AC15" i="9"/>
  <c r="R14" i="9"/>
  <c r="AE15" i="9"/>
  <c r="AG15" i="9"/>
  <c r="AF15" i="9"/>
  <c r="AB14" i="9"/>
  <c r="AA14" i="9"/>
  <c r="Y14" i="9"/>
  <c r="X13" i="9"/>
  <c r="AD14" i="9"/>
  <c r="Z15" i="9"/>
  <c r="O14" i="9"/>
  <c r="AD14" i="12"/>
  <c r="R15" i="11"/>
  <c r="V14" i="9"/>
  <c r="T14" i="9"/>
  <c r="V14" i="7"/>
  <c r="U14" i="7"/>
  <c r="T14" i="7"/>
  <c r="S13" i="7"/>
  <c r="X14" i="7"/>
  <c r="AB13" i="12"/>
  <c r="AA13" i="12"/>
  <c r="AC13" i="12"/>
  <c r="X13" i="12"/>
  <c r="Z13" i="12"/>
  <c r="Y13" i="12"/>
  <c r="Y15" i="7"/>
  <c r="W15" i="7"/>
  <c r="K17" i="8"/>
  <c r="I17" i="8"/>
  <c r="H16" i="8"/>
  <c r="Q13" i="9"/>
  <c r="P13" i="9"/>
  <c r="M12" i="9"/>
  <c r="N13" i="9"/>
  <c r="S13" i="9"/>
  <c r="J14" i="11"/>
  <c r="L18" i="8"/>
  <c r="J18" i="8"/>
  <c r="K12" i="20"/>
  <c r="J12" i="20"/>
  <c r="I12" i="20"/>
  <c r="H11" i="20"/>
  <c r="Q14" i="7"/>
  <c r="O14" i="7"/>
  <c r="P15" i="11"/>
  <c r="P14" i="20"/>
  <c r="O14" i="20"/>
  <c r="N14" i="20"/>
  <c r="K13" i="11"/>
  <c r="I13" i="11"/>
  <c r="H12" i="11"/>
  <c r="N13" i="7"/>
  <c r="L13" i="7"/>
  <c r="K12" i="7"/>
  <c r="P13" i="7"/>
  <c r="Q14" i="11"/>
  <c r="O14" i="11"/>
  <c r="P18" i="8"/>
  <c r="R18" i="8"/>
  <c r="U14" i="9"/>
  <c r="C12" i="4"/>
  <c r="A13" i="4"/>
  <c r="O17" i="8"/>
  <c r="N16" i="8"/>
  <c r="Q17" i="8"/>
  <c r="M14" i="7"/>
  <c r="N11" i="12" l="1"/>
  <c r="T12" i="12"/>
  <c r="S12" i="12"/>
  <c r="R12" i="12"/>
  <c r="Q12" i="12"/>
  <c r="U12" i="12" s="1"/>
  <c r="P12" i="12"/>
  <c r="O12" i="12"/>
  <c r="U13" i="12"/>
  <c r="L13" i="11"/>
  <c r="AC14" i="9"/>
  <c r="AG14" i="9"/>
  <c r="AE14" i="9"/>
  <c r="Z14" i="9"/>
  <c r="AF14" i="9"/>
  <c r="X12" i="9"/>
  <c r="AA13" i="9"/>
  <c r="Y13" i="9"/>
  <c r="AB13" i="9"/>
  <c r="AD13" i="9"/>
  <c r="U13" i="9"/>
  <c r="O13" i="9"/>
  <c r="AD13" i="12"/>
  <c r="R14" i="11"/>
  <c r="P14" i="11"/>
  <c r="P13" i="20"/>
  <c r="O13" i="20"/>
  <c r="N13" i="20"/>
  <c r="V13" i="7"/>
  <c r="U13" i="7"/>
  <c r="T13" i="7"/>
  <c r="S12" i="7"/>
  <c r="X13" i="7"/>
  <c r="J13" i="11"/>
  <c r="C13" i="4"/>
  <c r="A14" i="4"/>
  <c r="I16" i="8"/>
  <c r="H15" i="8"/>
  <c r="K16" i="8"/>
  <c r="Y14" i="7"/>
  <c r="W14" i="7"/>
  <c r="Q13" i="11"/>
  <c r="O13" i="11"/>
  <c r="Y12" i="12"/>
  <c r="X12" i="12"/>
  <c r="Z12" i="12"/>
  <c r="AB12" i="12"/>
  <c r="AA12" i="12"/>
  <c r="AC12" i="12"/>
  <c r="R13" i="9"/>
  <c r="J17" i="8"/>
  <c r="L17" i="8"/>
  <c r="Q16" i="8"/>
  <c r="O16" i="8"/>
  <c r="N15" i="8"/>
  <c r="N12" i="7"/>
  <c r="L12" i="7"/>
  <c r="K11" i="7"/>
  <c r="P12" i="7"/>
  <c r="M13" i="7"/>
  <c r="T13" i="9"/>
  <c r="V13" i="9"/>
  <c r="K11" i="20"/>
  <c r="J11" i="20"/>
  <c r="I11" i="20"/>
  <c r="H10" i="20"/>
  <c r="Q13" i="7"/>
  <c r="O13" i="7"/>
  <c r="P17" i="8"/>
  <c r="R17" i="8"/>
  <c r="I12" i="11"/>
  <c r="H11" i="11"/>
  <c r="K12" i="11"/>
  <c r="N12" i="9"/>
  <c r="S12" i="9"/>
  <c r="M11" i="9"/>
  <c r="Q12" i="9"/>
  <c r="P12" i="9"/>
  <c r="M12" i="7" l="1"/>
  <c r="N10" i="12"/>
  <c r="S11" i="12"/>
  <c r="R11" i="12"/>
  <c r="Q11" i="12"/>
  <c r="P11" i="12"/>
  <c r="O11" i="12"/>
  <c r="T11" i="12"/>
  <c r="L12" i="11"/>
  <c r="AF13" i="9"/>
  <c r="AG13" i="9"/>
  <c r="AE13" i="9"/>
  <c r="Z13" i="9"/>
  <c r="AA12" i="9"/>
  <c r="X11" i="9"/>
  <c r="AB12" i="9"/>
  <c r="Y12" i="9"/>
  <c r="AD12" i="9"/>
  <c r="R12" i="9"/>
  <c r="AC13" i="9"/>
  <c r="R13" i="11"/>
  <c r="V12" i="9"/>
  <c r="T12" i="9"/>
  <c r="K10" i="20"/>
  <c r="J10" i="20"/>
  <c r="I10" i="20"/>
  <c r="H9" i="20"/>
  <c r="P11" i="7"/>
  <c r="N11" i="7"/>
  <c r="L11" i="7"/>
  <c r="K10" i="7"/>
  <c r="J16" i="8"/>
  <c r="L16" i="8"/>
  <c r="X12" i="7"/>
  <c r="V12" i="7"/>
  <c r="U12" i="7"/>
  <c r="T12" i="7"/>
  <c r="S11" i="7"/>
  <c r="J12" i="11"/>
  <c r="O12" i="7"/>
  <c r="Q12" i="7"/>
  <c r="I15" i="8"/>
  <c r="H14" i="8"/>
  <c r="K15" i="8"/>
  <c r="W13" i="7"/>
  <c r="Y13" i="7"/>
  <c r="O12" i="9"/>
  <c r="P13" i="11"/>
  <c r="A15" i="4"/>
  <c r="C14" i="4"/>
  <c r="P12" i="20"/>
  <c r="N12" i="20"/>
  <c r="O12" i="20"/>
  <c r="U12" i="9"/>
  <c r="R16" i="8"/>
  <c r="P16" i="8"/>
  <c r="AC11" i="12"/>
  <c r="AB11" i="12"/>
  <c r="AA11" i="12"/>
  <c r="Z11" i="12"/>
  <c r="Y11" i="12"/>
  <c r="X11" i="12"/>
  <c r="O12" i="11"/>
  <c r="Q12" i="11"/>
  <c r="I11" i="11"/>
  <c r="H10" i="11"/>
  <c r="K11" i="11"/>
  <c r="Q15" i="8"/>
  <c r="N14" i="8"/>
  <c r="O15" i="8"/>
  <c r="Q11" i="9"/>
  <c r="P11" i="9"/>
  <c r="N11" i="9"/>
  <c r="S11" i="9"/>
  <c r="M10" i="9"/>
  <c r="AD12" i="12"/>
  <c r="U11" i="12" l="1"/>
  <c r="N9" i="12"/>
  <c r="Q10" i="12"/>
  <c r="P10" i="12"/>
  <c r="O10" i="12"/>
  <c r="R10" i="12"/>
  <c r="T10" i="12"/>
  <c r="S10" i="12"/>
  <c r="L11" i="11"/>
  <c r="AC12" i="9"/>
  <c r="AF12" i="9"/>
  <c r="Z12" i="9"/>
  <c r="Y11" i="9"/>
  <c r="AD11" i="9"/>
  <c r="X10" i="9"/>
  <c r="AB11" i="9"/>
  <c r="AA11" i="9"/>
  <c r="Z11" i="9" s="1"/>
  <c r="AE12" i="9"/>
  <c r="AG12" i="9"/>
  <c r="U11" i="9"/>
  <c r="AD11" i="12"/>
  <c r="R12" i="11"/>
  <c r="Q14" i="8"/>
  <c r="O14" i="8"/>
  <c r="N13" i="8"/>
  <c r="O11" i="11"/>
  <c r="Q11" i="11"/>
  <c r="K14" i="8"/>
  <c r="I14" i="8"/>
  <c r="H13" i="8"/>
  <c r="W12" i="7"/>
  <c r="Y12" i="7"/>
  <c r="M11" i="7"/>
  <c r="R15" i="8"/>
  <c r="P15" i="8"/>
  <c r="AA10" i="12"/>
  <c r="Z10" i="12"/>
  <c r="AB10" i="12"/>
  <c r="AC10" i="12"/>
  <c r="Y10" i="12"/>
  <c r="X10" i="12"/>
  <c r="C15" i="4"/>
  <c r="A16" i="4"/>
  <c r="H8" i="20"/>
  <c r="K9" i="20"/>
  <c r="J9" i="20"/>
  <c r="I9" i="20"/>
  <c r="S10" i="9"/>
  <c r="M9" i="9"/>
  <c r="P10" i="9"/>
  <c r="N10" i="9"/>
  <c r="Q10" i="9"/>
  <c r="J11" i="11"/>
  <c r="R11" i="9"/>
  <c r="K10" i="11"/>
  <c r="H9" i="11"/>
  <c r="I10" i="11"/>
  <c r="V11" i="9"/>
  <c r="T11" i="9"/>
  <c r="O11" i="9"/>
  <c r="P10" i="7"/>
  <c r="N10" i="7"/>
  <c r="L10" i="7"/>
  <c r="K9" i="7"/>
  <c r="P12" i="11"/>
  <c r="N11" i="20"/>
  <c r="O11" i="20"/>
  <c r="P11" i="20"/>
  <c r="L15" i="8"/>
  <c r="J15" i="8"/>
  <c r="X11" i="7"/>
  <c r="V11" i="7"/>
  <c r="U11" i="7"/>
  <c r="T11" i="7"/>
  <c r="S10" i="7"/>
  <c r="O11" i="7"/>
  <c r="Q11" i="7"/>
  <c r="M10" i="7" l="1"/>
  <c r="U10" i="12"/>
  <c r="N8" i="12"/>
  <c r="O9" i="12"/>
  <c r="T9" i="12"/>
  <c r="S9" i="12"/>
  <c r="R9" i="12"/>
  <c r="Q9" i="12"/>
  <c r="U9" i="12" s="1"/>
  <c r="P9" i="12"/>
  <c r="L10" i="11"/>
  <c r="AF11" i="9"/>
  <c r="Y10" i="9"/>
  <c r="AD10" i="9"/>
  <c r="AA10" i="9"/>
  <c r="Z10" i="9" s="1"/>
  <c r="X9" i="9"/>
  <c r="AB10" i="9"/>
  <c r="AC11" i="9"/>
  <c r="AG11" i="9"/>
  <c r="AE11" i="9"/>
  <c r="U10" i="9"/>
  <c r="O10" i="9"/>
  <c r="AD10" i="12"/>
  <c r="P11" i="11"/>
  <c r="S9" i="7"/>
  <c r="X10" i="7"/>
  <c r="V10" i="7"/>
  <c r="U10" i="7"/>
  <c r="T10" i="7"/>
  <c r="Y11" i="7"/>
  <c r="W11" i="7"/>
  <c r="O10" i="20"/>
  <c r="N10" i="20"/>
  <c r="P10" i="20"/>
  <c r="V10" i="9"/>
  <c r="T10" i="9"/>
  <c r="A17" i="4"/>
  <c r="C16" i="4"/>
  <c r="L14" i="8"/>
  <c r="J14" i="8"/>
  <c r="Q9" i="9"/>
  <c r="P9" i="9"/>
  <c r="S9" i="9"/>
  <c r="N9" i="9"/>
  <c r="M8" i="9"/>
  <c r="O10" i="11"/>
  <c r="Q10" i="11"/>
  <c r="I9" i="11"/>
  <c r="H8" i="11"/>
  <c r="K9" i="11"/>
  <c r="R10" i="9"/>
  <c r="R11" i="11"/>
  <c r="J10" i="11"/>
  <c r="K8" i="7"/>
  <c r="P9" i="7"/>
  <c r="N9" i="7"/>
  <c r="L9" i="7"/>
  <c r="O13" i="8"/>
  <c r="N12" i="8"/>
  <c r="Q13" i="8"/>
  <c r="Q10" i="7"/>
  <c r="O10" i="7"/>
  <c r="X9" i="12"/>
  <c r="Y9" i="12"/>
  <c r="AC9" i="12"/>
  <c r="AB9" i="12"/>
  <c r="AA9" i="12"/>
  <c r="Z9" i="12"/>
  <c r="H12" i="8"/>
  <c r="I13" i="8"/>
  <c r="K13" i="8"/>
  <c r="K8" i="20"/>
  <c r="I8" i="20"/>
  <c r="J8" i="20"/>
  <c r="P14" i="8"/>
  <c r="R14" i="8"/>
  <c r="M9" i="7" l="1"/>
  <c r="T8" i="12"/>
  <c r="S8" i="12"/>
  <c r="R8" i="12"/>
  <c r="Q8" i="12"/>
  <c r="P8" i="12"/>
  <c r="O8" i="12"/>
  <c r="AD9" i="12"/>
  <c r="L9" i="11"/>
  <c r="AF10" i="9"/>
  <c r="U9" i="9"/>
  <c r="AB9" i="9"/>
  <c r="AA9" i="9"/>
  <c r="Y9" i="9"/>
  <c r="AD9" i="9"/>
  <c r="X8" i="9"/>
  <c r="AC10" i="9"/>
  <c r="AG10" i="9"/>
  <c r="AE10" i="9"/>
  <c r="O9" i="9"/>
  <c r="R10" i="11"/>
  <c r="I12" i="8"/>
  <c r="H11" i="8"/>
  <c r="K12" i="8"/>
  <c r="O12" i="8"/>
  <c r="N11" i="8"/>
  <c r="Q12" i="8"/>
  <c r="Q9" i="11"/>
  <c r="O9" i="11"/>
  <c r="AC8" i="12"/>
  <c r="AB8" i="12"/>
  <c r="AA8" i="12"/>
  <c r="Z8" i="12"/>
  <c r="Y8" i="12"/>
  <c r="X8" i="12"/>
  <c r="Q9" i="7"/>
  <c r="O9" i="7"/>
  <c r="N8" i="9"/>
  <c r="S8" i="9"/>
  <c r="Q8" i="9"/>
  <c r="P8" i="9"/>
  <c r="A18" i="4"/>
  <c r="C17" i="4"/>
  <c r="J9" i="11"/>
  <c r="T9" i="9"/>
  <c r="V9" i="9"/>
  <c r="Y10" i="7"/>
  <c r="W10" i="7"/>
  <c r="K8" i="11"/>
  <c r="I8" i="11"/>
  <c r="R9" i="9"/>
  <c r="P8" i="7"/>
  <c r="N8" i="7"/>
  <c r="L8" i="7"/>
  <c r="P9" i="20"/>
  <c r="O9" i="20"/>
  <c r="N9" i="20"/>
  <c r="J13" i="8"/>
  <c r="L13" i="8"/>
  <c r="P13" i="8"/>
  <c r="R13" i="8"/>
  <c r="P10" i="11"/>
  <c r="S8" i="7"/>
  <c r="X9" i="7"/>
  <c r="V9" i="7"/>
  <c r="T9" i="7"/>
  <c r="U9" i="7"/>
  <c r="U8" i="12" l="1"/>
  <c r="AD8" i="12"/>
  <c r="L8" i="11"/>
  <c r="U8" i="9"/>
  <c r="AC9" i="9"/>
  <c r="AD8" i="9"/>
  <c r="Y8" i="9"/>
  <c r="AB8" i="9"/>
  <c r="AA8" i="9"/>
  <c r="Z8" i="9" s="1"/>
  <c r="AG9" i="9"/>
  <c r="AE9" i="9"/>
  <c r="Z9" i="9"/>
  <c r="AF9" i="9"/>
  <c r="O8" i="9"/>
  <c r="R9" i="11"/>
  <c r="J8" i="11"/>
  <c r="O8" i="11"/>
  <c r="Q8" i="11"/>
  <c r="P8" i="20"/>
  <c r="O8" i="20"/>
  <c r="N8" i="20"/>
  <c r="R12" i="8"/>
  <c r="P12" i="8"/>
  <c r="Q8" i="7"/>
  <c r="O8" i="7"/>
  <c r="V8" i="9"/>
  <c r="T8" i="9"/>
  <c r="Q11" i="8"/>
  <c r="O11" i="8"/>
  <c r="N10" i="8"/>
  <c r="C18" i="4"/>
  <c r="A19" i="4"/>
  <c r="M8" i="7"/>
  <c r="P9" i="11"/>
  <c r="J12" i="8"/>
  <c r="L12" i="8"/>
  <c r="T8" i="7"/>
  <c r="X8" i="7"/>
  <c r="U8" i="7"/>
  <c r="V8" i="7"/>
  <c r="R8" i="9"/>
  <c r="Y9" i="7"/>
  <c r="W9" i="7"/>
  <c r="H10" i="8"/>
  <c r="I10" i="8" s="1"/>
  <c r="K11" i="8"/>
  <c r="I11" i="8"/>
  <c r="AF8" i="9" l="1"/>
  <c r="AE8" i="9"/>
  <c r="AG8" i="9"/>
  <c r="AC8" i="9"/>
  <c r="P8" i="11"/>
  <c r="C19" i="4"/>
  <c r="A20" i="4"/>
  <c r="Q10" i="8"/>
  <c r="O10" i="8"/>
  <c r="P11" i="8"/>
  <c r="R11" i="8"/>
  <c r="L11" i="8"/>
  <c r="J11" i="8"/>
  <c r="Y8" i="7"/>
  <c r="W8" i="7"/>
  <c r="K10" i="8"/>
  <c r="R8" i="11"/>
  <c r="P10" i="8" l="1"/>
  <c r="R10" i="8"/>
  <c r="L10" i="8"/>
  <c r="J10" i="8"/>
  <c r="A21" i="4"/>
  <c r="C20" i="4"/>
  <c r="C21" i="4" l="1"/>
  <c r="A22" i="4"/>
  <c r="C22" i="4" l="1"/>
  <c r="A23" i="4"/>
  <c r="A24" i="4" l="1"/>
  <c r="C23" i="4"/>
  <c r="A25" i="4" l="1"/>
  <c r="C24" i="4"/>
  <c r="A26" i="4" l="1"/>
  <c r="C25" i="4"/>
  <c r="C26" i="4" l="1"/>
  <c r="A27" i="4"/>
  <c r="C27" i="4" l="1"/>
  <c r="A28" i="4"/>
  <c r="A29" i="4" l="1"/>
  <c r="C28" i="4"/>
  <c r="C29" i="4" l="1"/>
  <c r="A30" i="4"/>
  <c r="C30" i="4" l="1"/>
  <c r="A31" i="4"/>
  <c r="A32" i="4" l="1"/>
  <c r="C31" i="4"/>
  <c r="A33" i="4" l="1"/>
  <c r="C32" i="4"/>
  <c r="A34" i="4" l="1"/>
  <c r="C33" i="4"/>
  <c r="C34" i="4" l="1"/>
  <c r="A35" i="4"/>
  <c r="A36" i="4" l="1"/>
  <c r="C35" i="4"/>
  <c r="A37" i="4" l="1"/>
  <c r="C36" i="4"/>
  <c r="C37" i="4" l="1"/>
  <c r="A38" i="4"/>
  <c r="C38" i="4" l="1"/>
  <c r="A39" i="4"/>
  <c r="A40" i="4" l="1"/>
  <c r="C39" i="4"/>
  <c r="A41" i="4" l="1"/>
  <c r="C40" i="4"/>
  <c r="C41" i="4" l="1"/>
  <c r="L17" i="4"/>
  <c r="M17" i="4" l="1"/>
  <c r="R17" i="4"/>
  <c r="P17" i="4"/>
  <c r="O17" i="4"/>
  <c r="L16" i="4"/>
  <c r="N17" i="4"/>
  <c r="Q17" i="4"/>
  <c r="R16" i="4" l="1"/>
  <c r="Q16" i="4"/>
  <c r="P16" i="4"/>
  <c r="L15" i="4"/>
  <c r="O16" i="4"/>
  <c r="M16" i="4"/>
  <c r="N16" i="4"/>
  <c r="Q15" i="4" l="1"/>
  <c r="O15" i="4"/>
  <c r="L14" i="4"/>
  <c r="N15" i="4"/>
  <c r="M15" i="4"/>
  <c r="R15" i="4"/>
  <c r="P15" i="4"/>
  <c r="N14" i="4" l="1"/>
  <c r="M14" i="4"/>
  <c r="Q14" i="4"/>
  <c r="R14" i="4"/>
  <c r="O14" i="4"/>
  <c r="L13" i="4"/>
  <c r="P14" i="4"/>
  <c r="Q13" i="4" l="1"/>
  <c r="P13" i="4"/>
  <c r="N13" i="4"/>
  <c r="O13" i="4"/>
  <c r="L12" i="4"/>
  <c r="R13" i="4"/>
  <c r="M13" i="4"/>
  <c r="L11" i="4" l="1"/>
  <c r="O12" i="4"/>
  <c r="N12" i="4"/>
  <c r="M12" i="4"/>
  <c r="Q12" i="4"/>
  <c r="P12" i="4"/>
  <c r="R12" i="4"/>
  <c r="R11" i="4" l="1"/>
  <c r="P11" i="4"/>
  <c r="Q11" i="4"/>
  <c r="N11" i="4"/>
  <c r="M11" i="4"/>
  <c r="L10" i="4"/>
  <c r="O11" i="4"/>
  <c r="R10" i="4" l="1"/>
  <c r="Q10" i="4"/>
  <c r="P10" i="4"/>
  <c r="O10" i="4"/>
  <c r="L9" i="4"/>
  <c r="N10" i="4"/>
  <c r="M10" i="4"/>
  <c r="O9" i="4" l="1"/>
  <c r="L8" i="4"/>
  <c r="N9" i="4"/>
  <c r="M9" i="4"/>
  <c r="R9" i="4"/>
  <c r="P9" i="4"/>
  <c r="Q9" i="4"/>
  <c r="R8" i="4" l="1"/>
  <c r="O8" i="4"/>
  <c r="Q8" i="4"/>
  <c r="P8" i="4"/>
  <c r="M8" i="4"/>
  <c r="N8"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<sst xmlns="http://schemas.openxmlformats.org/spreadsheetml/2006/main" count="2790" uniqueCount="1243">
  <si>
    <t>Economic Contribution</t>
  </si>
  <si>
    <t>:</t>
  </si>
  <si>
    <t>Mining Economic Impact</t>
  </si>
  <si>
    <t>Historic and current mining industry gross value added in mining in WA and the rest of Australia.</t>
  </si>
  <si>
    <t>Exports 2-years</t>
  </si>
  <si>
    <t>Comparison of mineral and petroleum exports for WA and the rest of Australia over the past two years.</t>
  </si>
  <si>
    <t>Exports Historic</t>
  </si>
  <si>
    <t>Historic mineral and petroleum exports for WA and the rest of Australia from 2015.</t>
  </si>
  <si>
    <t>Mining Investment</t>
  </si>
  <si>
    <t>Historic investment in mining in WA and the rest of Australia.</t>
  </si>
  <si>
    <t>Exploration</t>
  </si>
  <si>
    <t>Mineral Exploration By Commodity</t>
  </si>
  <si>
    <t>WA's exploration spend by commodity compared to the rest of Australia.</t>
  </si>
  <si>
    <t>Mineral Exploration By Type</t>
  </si>
  <si>
    <t>WA's exploration spend by type (i.e. new deposits and existing deposits) compared to the rest of Australia.</t>
  </si>
  <si>
    <t>Mineral Exploration Metres Drilled</t>
  </si>
  <si>
    <t>Historic exploration drilling and expenditure on new and existing mineral deposits.</t>
  </si>
  <si>
    <t>Petroleum Exploration Expenditure</t>
  </si>
  <si>
    <t>Historic expenditure on petroleum exploration in WA and the rest of Australia.</t>
  </si>
  <si>
    <t>Petroleum Exploration By Location</t>
  </si>
  <si>
    <t>Historic expenditure on offshore and onshore petroleum exploration in Australia.</t>
  </si>
  <si>
    <t>Royalties</t>
  </si>
  <si>
    <t>Royalties 2-years</t>
  </si>
  <si>
    <t>Comparison of royalty receipts and North West Shelf grants over the past two years.</t>
  </si>
  <si>
    <t>Royalties Historic</t>
  </si>
  <si>
    <t>Historic royalty receipts and North West Shelf grants.</t>
  </si>
  <si>
    <t>Employment</t>
  </si>
  <si>
    <t>Mining Employment Calendar Year</t>
  </si>
  <si>
    <t>Calendar year employment by commodity in the WA mining and mineral exploration sector from 2001.</t>
  </si>
  <si>
    <t>Mining Employment Financial Year</t>
  </si>
  <si>
    <t>Financial year employment by commodity in the WA mining and mineral exploration sector from 2001-02.</t>
  </si>
  <si>
    <t>Mining Employment Report Period</t>
  </si>
  <si>
    <t>Monthly employment in the WA mining and exploration industries by commodity from 2001.</t>
  </si>
  <si>
    <t>Mining Employment By Calendar Year Pre-2001</t>
  </si>
  <si>
    <t>Calendar year employment in the WA mining industry by commodity from 1987-2000.</t>
  </si>
  <si>
    <t>Petroleum Employment</t>
  </si>
  <si>
    <t>Historic employment in the WA petroleum industry (onshore, State waters and offshore) from 1985.</t>
  </si>
  <si>
    <t>Petroleum Employment Monthly January 2010 to March 2022</t>
  </si>
  <si>
    <t>Monthly employment in the WA petroleum industry (onshore and State waters only) by commodity from January 2010 to March 2022.</t>
  </si>
  <si>
    <t>How to Use</t>
  </si>
  <si>
    <t>Details about how to use this file, and access the information held within it.</t>
  </si>
  <si>
    <t>Data</t>
  </si>
  <si>
    <t>Sources</t>
  </si>
  <si>
    <t>Source</t>
  </si>
  <si>
    <t>Link</t>
  </si>
  <si>
    <t>Gross Domestic Product</t>
  </si>
  <si>
    <t>Australian Bureau of Statistics (ABS)</t>
  </si>
  <si>
    <t>Australian National Accounts: State Accounts</t>
  </si>
  <si>
    <t>Gross State Product WA</t>
  </si>
  <si>
    <t>ABS</t>
  </si>
  <si>
    <t>Mining investment</t>
  </si>
  <si>
    <t>Private New Capital Expenditure and Expected Expenditure, Australia</t>
  </si>
  <si>
    <t>New capital expenditure</t>
  </si>
  <si>
    <t>Australia merchandise exports by State and by Destination</t>
  </si>
  <si>
    <t>International Trade in Goods and Services, Australia</t>
  </si>
  <si>
    <t>Australia mineral and energy exports</t>
  </si>
  <si>
    <t>Office of the Chief Economist, Department of Industry, Science and Resources</t>
  </si>
  <si>
    <t>Resources and Energy Quarterly</t>
  </si>
  <si>
    <t>Mineral exploration expenditure and metres drilled</t>
  </si>
  <si>
    <t>Mineral and Petroleum Exploration, Australia</t>
  </si>
  <si>
    <t>Petroleum exploration expenditure</t>
  </si>
  <si>
    <t>DEMIRS</t>
  </si>
  <si>
    <t>Mining employment</t>
  </si>
  <si>
    <t>Petroleum employment monthly January 2010 to March 2022</t>
  </si>
  <si>
    <t>Petroleum employment quarterly 1985 to Now</t>
  </si>
  <si>
    <t>Labour Force, Australia, Detailed</t>
  </si>
  <si>
    <t>Click here to select an option</t>
  </si>
  <si>
    <t>A menu will drop down showing your choices</t>
  </si>
  <si>
    <t>Click to Select: Click anywhere in this tab to bring up the menu</t>
  </si>
  <si>
    <t>Chart Data</t>
  </si>
  <si>
    <t>Click above to change chart data</t>
  </si>
  <si>
    <t>Select:</t>
  </si>
  <si>
    <t>Last 10 Financial Years</t>
  </si>
  <si>
    <t>Year</t>
  </si>
  <si>
    <t>Western Australia ($ Million)</t>
  </si>
  <si>
    <t>Australia 
($ Million)</t>
  </si>
  <si>
    <t>Western Australia GSP ($Million)</t>
  </si>
  <si>
    <t>Mining Share of Western Australia Gross State Product</t>
  </si>
  <si>
    <t>Rest of Australia ($ Million)</t>
  </si>
  <si>
    <t>Australia ($ Million)</t>
  </si>
  <si>
    <t>Calendar Year</t>
  </si>
  <si>
    <t>Financial Year</t>
  </si>
  <si>
    <t>Commodity</t>
  </si>
  <si>
    <t>$</t>
  </si>
  <si>
    <t>%</t>
  </si>
  <si>
    <t>Alumina and Bauxite</t>
  </si>
  <si>
    <t>Copper-Lead-Zinc</t>
  </si>
  <si>
    <t>Gold</t>
  </si>
  <si>
    <t>Iron Ore</t>
  </si>
  <si>
    <t>Lithium</t>
  </si>
  <si>
    <t>Mineral Sands</t>
  </si>
  <si>
    <t>Nickel</t>
  </si>
  <si>
    <t>Petroleum</t>
  </si>
  <si>
    <t>Other</t>
  </si>
  <si>
    <t>Western Australia Mineral and Petroleum Exports</t>
  </si>
  <si>
    <t>Mineral and Petroleum Exports Share of Western Australia</t>
  </si>
  <si>
    <t>n/a</t>
  </si>
  <si>
    <t>Australia Mineral and Energy Exports</t>
  </si>
  <si>
    <t>Western Australia Share of Australia</t>
  </si>
  <si>
    <t>Historic Mineral and Petroleum Exports Financial Year</t>
  </si>
  <si>
    <t>2015-16</t>
  </si>
  <si>
    <t>2016-17</t>
  </si>
  <si>
    <t>2017-18</t>
  </si>
  <si>
    <t>2018-19</t>
  </si>
  <si>
    <t>2019-20</t>
  </si>
  <si>
    <t>2020-21</t>
  </si>
  <si>
    <t>2021-22</t>
  </si>
  <si>
    <t>2022-23</t>
  </si>
  <si>
    <t>Cumulative Total</t>
  </si>
  <si>
    <t>Total Share</t>
  </si>
  <si>
    <t>Historic Mineral and Petroleum Exports Calendar Year</t>
  </si>
  <si>
    <t>Last 10 Calendar Years</t>
  </si>
  <si>
    <t>Quarter</t>
  </si>
  <si>
    <t>Western Australia New Capital Expenditure ($ Million)</t>
  </si>
  <si>
    <t>Mining Share of Western Australia New Capital Expenditure</t>
  </si>
  <si>
    <t xml:space="preserve"> </t>
  </si>
  <si>
    <t>Commodity:</t>
  </si>
  <si>
    <t>Total</t>
  </si>
  <si>
    <t>Mineral Exploration Expenditure By Type</t>
  </si>
  <si>
    <t xml:space="preserve"> Last 10 Calendar Years</t>
  </si>
  <si>
    <t>Western Australia New Deposits ($ Million)</t>
  </si>
  <si>
    <t xml:space="preserve"> Australia New Deposits ($ Million)</t>
  </si>
  <si>
    <t>Western Australia Existing Deposits ($ Million)</t>
  </si>
  <si>
    <t>New</t>
  </si>
  <si>
    <t>Existing</t>
  </si>
  <si>
    <t>Australia New Deposits Metres Drilled ('000)</t>
  </si>
  <si>
    <t>Australia Existing Deposits Metres Drilled ('000)</t>
  </si>
  <si>
    <t>Australia Total Deposits Metres Drilled ('000)</t>
  </si>
  <si>
    <t>Annual Average (Financial Year)</t>
  </si>
  <si>
    <t>Annual Average (Calendar Year)</t>
  </si>
  <si>
    <t xml:space="preserve">New Deposits (Quarterly average over </t>
  </si>
  <si>
    <t xml:space="preserve">Existing Deposits (Quarterly average over </t>
  </si>
  <si>
    <t xml:space="preserve">Total (Quarterly average over </t>
  </si>
  <si>
    <t>Petroleum Exploration Expenditure By Location</t>
  </si>
  <si>
    <t xml:space="preserve">Onshore Share of Australia </t>
  </si>
  <si>
    <t>($ Million)</t>
  </si>
  <si>
    <t>Alumina</t>
  </si>
  <si>
    <t>Copper, Lead &amp; Zinc</t>
  </si>
  <si>
    <t>Diamonds</t>
  </si>
  <si>
    <t>Mineral sands</t>
  </si>
  <si>
    <t>Other Minerals</t>
  </si>
  <si>
    <t>North West Shelf Grants</t>
  </si>
  <si>
    <t>Total Royalty Receipts</t>
  </si>
  <si>
    <t>Total Revenue</t>
  </si>
  <si>
    <t>Historic Royalty Receipts and Revenue Financial Year</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</si>
  <si>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</si>
  <si>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</si>
  <si>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</si>
  <si>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</si>
  <si>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</si>
  <si>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</si>
  <si>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</si>
  <si>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</si>
  <si>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</si>
  <si>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</si>
  <si>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</si>
  <si>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</si>
  <si>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</si>
  <si>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</si>
  <si>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</si>
  <si>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</si>
  <si>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</si>
  <si>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</si>
  <si>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</si>
  <si>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</si>
  <si>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</si>
  <si>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</si>
  <si>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</si>
  <si>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</si>
  <si>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</si>
  <si>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</si>
  <si>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</si>
  <si>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</si>
  <si>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</si>
  <si>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</si>
  <si>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</si>
  <si>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</si>
  <si>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Historic Royalty Receipts and Revenue Calendar Year</t>
  </si>
  <si>
    <t>Mining And Mineral Exploration FTEs By Calendar Year</t>
  </si>
  <si>
    <t>Coal</t>
  </si>
  <si>
    <t>Construction Materials</t>
  </si>
  <si>
    <t>Diamond</t>
  </si>
  <si>
    <t>Salt</t>
  </si>
  <si>
    <t>Total Mining</t>
  </si>
  <si>
    <t>Mineral Exploration</t>
  </si>
  <si>
    <t>Total Mining and Mineral Exploration</t>
  </si>
  <si>
    <t>FTEs</t>
  </si>
  <si>
    <t>Column Chart Data</t>
  </si>
  <si>
    <t>Click above to change column chart data</t>
  </si>
  <si>
    <t>Mining And Mineral Exploration FTEs By Financial Year</t>
  </si>
  <si>
    <t>Month:</t>
  </si>
  <si>
    <t>Year:</t>
  </si>
  <si>
    <t>Mining Employees FTEs</t>
  </si>
  <si>
    <t>Mining Contractors FTEs</t>
  </si>
  <si>
    <t>Total Mining FTEs</t>
  </si>
  <si>
    <t>Total Mining FTEs (HYs)</t>
  </si>
  <si>
    <t>H1 2001</t>
  </si>
  <si>
    <t>H2 2001</t>
  </si>
  <si>
    <t>H1 2002</t>
  </si>
  <si>
    <t>H2 2002</t>
  </si>
  <si>
    <t>H1 2003</t>
  </si>
  <si>
    <t>H2 2003</t>
  </si>
  <si>
    <t>H1 2004</t>
  </si>
  <si>
    <t>H2 2004</t>
  </si>
  <si>
    <t>H1 2005</t>
  </si>
  <si>
    <t>H2 2005</t>
  </si>
  <si>
    <t>H1 2006</t>
  </si>
  <si>
    <t>H2 2006</t>
  </si>
  <si>
    <t>H1 2007</t>
  </si>
  <si>
    <t>H2 2007</t>
  </si>
  <si>
    <t>H1 2008</t>
  </si>
  <si>
    <t>H2 2008</t>
  </si>
  <si>
    <t>H1 2009</t>
  </si>
  <si>
    <t>H2 2009</t>
  </si>
  <si>
    <t>H1 2010</t>
  </si>
  <si>
    <t>H2 2010</t>
  </si>
  <si>
    <t>H1 2011</t>
  </si>
  <si>
    <t>H2 2011</t>
  </si>
  <si>
    <t>H1 2012</t>
  </si>
  <si>
    <t>H2 2012</t>
  </si>
  <si>
    <t>H1 2013</t>
  </si>
  <si>
    <t>H2 2013</t>
  </si>
  <si>
    <t>H1 2014</t>
  </si>
  <si>
    <t>H2 2014</t>
  </si>
  <si>
    <t>H1 2015</t>
  </si>
  <si>
    <t>H2 2015</t>
  </si>
  <si>
    <t>H1 2016</t>
  </si>
  <si>
    <t>H2 2016</t>
  </si>
  <si>
    <t>H1 2017</t>
  </si>
  <si>
    <t>H2 2017</t>
  </si>
  <si>
    <t>H1 2018</t>
  </si>
  <si>
    <t>H2 2018</t>
  </si>
  <si>
    <t>H1 2019</t>
  </si>
  <si>
    <t>H2 2019</t>
  </si>
  <si>
    <t>H1 2020</t>
  </si>
  <si>
    <t>H2 2020</t>
  </si>
  <si>
    <t>H1 2021</t>
  </si>
  <si>
    <t>H2 2021</t>
  </si>
  <si>
    <t>H1 2022</t>
  </si>
  <si>
    <t xml:space="preserve">Base Metals               </t>
  </si>
  <si>
    <t xml:space="preserve">Bauxite - Alumina                  </t>
  </si>
  <si>
    <t xml:space="preserve">Coal                               </t>
  </si>
  <si>
    <t xml:space="preserve">Construction Materials             </t>
  </si>
  <si>
    <t xml:space="preserve">Diamond                            </t>
  </si>
  <si>
    <t xml:space="preserve">Mineral Sands                </t>
  </si>
  <si>
    <t xml:space="preserve">Iron Ore                           </t>
  </si>
  <si>
    <t xml:space="preserve">Lithium           </t>
  </si>
  <si>
    <t xml:space="preserve">Nickel                             </t>
  </si>
  <si>
    <t xml:space="preserve">Salt                               </t>
  </si>
  <si>
    <t>Total FTEs</t>
  </si>
  <si>
    <t>Mineral Exploration FTEs</t>
  </si>
  <si>
    <t>Employees</t>
  </si>
  <si>
    <t>Contractors</t>
  </si>
  <si>
    <t>Primary Commodity</t>
  </si>
  <si>
    <t>Producer</t>
  </si>
  <si>
    <t>ALCOA OF AUSTRALIA LIMITED</t>
  </si>
  <si>
    <t>SOUTH32 WORSLEY ALUMINA PTY LTD</t>
  </si>
  <si>
    <t>Chemicals</t>
  </si>
  <si>
    <t>DORAL FUSED MATERIALS PTY LTD</t>
  </si>
  <si>
    <t>Chemicals Total</t>
  </si>
  <si>
    <t>Clays</t>
  </si>
  <si>
    <t>AUSTRAL BRICKS (WA) PTY LTD</t>
  </si>
  <si>
    <t>HUDSON MARKETING PTY LTD</t>
  </si>
  <si>
    <t>HUDSON RESOURCES LIMITED</t>
  </si>
  <si>
    <t>MIDLAND BRICK PTY LTD</t>
  </si>
  <si>
    <t>TELLUS HOLDINGS LTD</t>
  </si>
  <si>
    <t>W.A. KAOLIN HOLDINGS PTY LTD</t>
  </si>
  <si>
    <t>WATHEROO MINERALS PTY LTD</t>
  </si>
  <si>
    <t>Clays Total</t>
  </si>
  <si>
    <t>PREMIER COAL LIMITED</t>
  </si>
  <si>
    <t>THE GRIFFIN COAL MINING COMPANY PTY LIMITED</t>
  </si>
  <si>
    <t>Coal Total</t>
  </si>
  <si>
    <t>A.D. CONTRACTORS PTY LTD</t>
  </si>
  <si>
    <t>ACKER PTY LTD</t>
  </si>
  <si>
    <t>APH CONTRACTORS PTY LTD</t>
  </si>
  <si>
    <t>ARMOGEDIN PTY LTD</t>
  </si>
  <si>
    <t>ASHBY D R &amp; A I</t>
  </si>
  <si>
    <t>AUSTRALASIAN SANDS INTERNATIONAL PTY LTD</t>
  </si>
  <si>
    <t>AUSTRALIAN STONE COMPANY PTY LTD</t>
  </si>
  <si>
    <t>AVAGO PTY LTD</t>
  </si>
  <si>
    <t>B J YOUNG EARTHMOVING PTY LTD</t>
  </si>
  <si>
    <t>B VERSACI PTY LTD</t>
  </si>
  <si>
    <t>B. &amp; J. CATALANO PTY LTD</t>
  </si>
  <si>
    <t>BARDIES WELL PTY LTD</t>
  </si>
  <si>
    <t>BCP MATERIALS PTY LTD</t>
  </si>
  <si>
    <t>BGC (AUSTRALIA) PTY LTD</t>
  </si>
  <si>
    <t>BM &amp; RV WATERS</t>
  </si>
  <si>
    <t>BORAL RESOURCES (W.A.) LTD</t>
  </si>
  <si>
    <t>BRAJKOVICH LANDFILL &amp; RECYCLING PTY LTD</t>
  </si>
  <si>
    <t>BRODAN (W.A.) PTY LTD</t>
  </si>
  <si>
    <t>BROWN, RONALD WILLIAM</t>
  </si>
  <si>
    <t>BUCKSKI HOLDINGS PTY LTD</t>
  </si>
  <si>
    <t>BUSHBEACH HOLDINGS PTY LTD</t>
  </si>
  <si>
    <t>CARBONE BROS. PTY LTD</t>
  </si>
  <si>
    <t>CARNARVON HARDROCK LIMESTONE QUARRY PTY LTD</t>
  </si>
  <si>
    <t>CASTLE EQUIPMENT HIRE PTY LTD</t>
  </si>
  <si>
    <t>CONGIU, PASQUALE</t>
  </si>
  <si>
    <t>COOK INDUSTRIAL MINERALS PTY LTD</t>
  </si>
  <si>
    <t>DAWSON, PETER BRUCE</t>
  </si>
  <si>
    <t>DRILLINE PTY LTD</t>
  </si>
  <si>
    <t>EL PASO ESTATES PTY LTD</t>
  </si>
  <si>
    <t>G &amp; K BASSETT</t>
  </si>
  <si>
    <t>GFSG PTY LTD</t>
  </si>
  <si>
    <t>GOODFEEL ENTERPRISES PTY LTD</t>
  </si>
  <si>
    <t>GUERINONI NOMINEES PTY LTD</t>
  </si>
  <si>
    <t>HALLGRAV PTY LTD</t>
  </si>
  <si>
    <t>HANSON CONSTRUCTION MATERIALS PTY LTD</t>
  </si>
  <si>
    <t>HOLCIM (AUSTRALIA) PTY LTD</t>
  </si>
  <si>
    <t>HOVEY MANAGEMENT TRUST</t>
  </si>
  <si>
    <t>ITALIA STONE GROUP PTY LTD</t>
  </si>
  <si>
    <t>J.S.W. HOLDINGS PTY. LTD.</t>
  </si>
  <si>
    <t>JURIEN CONCRETE SERVICES WA PTY LTD</t>
  </si>
  <si>
    <t>KARRATHA EARTH MOVING AND SAND SUPPLIES</t>
  </si>
  <si>
    <t>KDMJ (WA) PTY LTD</t>
  </si>
  <si>
    <t>KIMBERLEY QUARRY PTY LTD</t>
  </si>
  <si>
    <t>KUMINA IRON PTY LTD</t>
  </si>
  <si>
    <t>L &amp; G GRANITE PTY LTD</t>
  </si>
  <si>
    <t>LEEUWIN CIVIL PTY LTD</t>
  </si>
  <si>
    <t>LENANE HOLDINGS PTY LTD</t>
  </si>
  <si>
    <t>MGM BULK PTY LTD</t>
  </si>
  <si>
    <t>MINERAL CRUSHING SERVICES (WA) PTY LTD</t>
  </si>
  <si>
    <t>MLG OZ PTY LTD</t>
  </si>
  <si>
    <t>MOBILE CONCRETING SOLUTIONS PTY LTD</t>
  </si>
  <si>
    <t>MOORE SANDS RESOURCES PTY LTD</t>
  </si>
  <si>
    <t>MR &amp; JL PIGGOTT</t>
  </si>
  <si>
    <t>N.B. LITTLE &amp; SONS PTY LTD</t>
  </si>
  <si>
    <t>NICKOL RIVER ENTERPRISES PTY LTD</t>
  </si>
  <si>
    <t>NIELSEN, ANDERS CONRAD KOEFOED</t>
  </si>
  <si>
    <t>NORTH WEST QUARRIES PTY LTD</t>
  </si>
  <si>
    <t>NORWEST SAND &amp; GRAVEL PTY LTD</t>
  </si>
  <si>
    <t>NTC CONTRACTING PTY LTD</t>
  </si>
  <si>
    <t>ONSLOW RESOURCES LTD</t>
  </si>
  <si>
    <t>P S CONNOLLY ENTERPRISES PTY LTD</t>
  </si>
  <si>
    <t>PATIENCE BULK HAULAGE PTY LTD</t>
  </si>
  <si>
    <t>RED DIRT AGRICULTURE PTY LTD</t>
  </si>
  <si>
    <t>Rodney John Ford &amp; Karl Graeme Brandenburg</t>
  </si>
  <si>
    <t>RURAL STONE COMPANY WA PTY LTD</t>
  </si>
  <si>
    <t>SCORPION MINING PTY LTD</t>
  </si>
  <si>
    <t>SHUTTLEWORTH, MARTIN JAMES</t>
  </si>
  <si>
    <t>SJ &amp; AM CLIFTON</t>
  </si>
  <si>
    <t>SPINIFEX CRUSHING &amp; SCREENING SERVICES PTY LTD</t>
  </si>
  <si>
    <t>STELLAR CONTRACTING SERVICES PTY LTD</t>
  </si>
  <si>
    <t>THE TRUSTEE FOR BORRELLO FAMILY TRUST</t>
  </si>
  <si>
    <t>The trustee for Glass Bailey Family Trust</t>
  </si>
  <si>
    <t>THE TRUSTEE FOR RANSBERG UNIT TRUST</t>
  </si>
  <si>
    <t>THE TRUSTEE FOR THE GJ LANGE FAMILY TRUST</t>
  </si>
  <si>
    <t>THE TRUSTEE FOR THE GREAT SAND SUPPLIES TRUST</t>
  </si>
  <si>
    <t>The Trustee for THE ITALO PIRONE FAMILY TRUST</t>
  </si>
  <si>
    <t>The Trustee for THE JAB FAMILYTRUST</t>
  </si>
  <si>
    <t>The Trustee for The McGuinness Family Trust</t>
  </si>
  <si>
    <t>THE TRUSTEE FOR THE SEVEN SPRINGS FAMILY TRUST TRADING AS RINGA CIVIL</t>
  </si>
  <si>
    <t>THE TRUSTEE FOR THE SLOAN FAMILY TRUST &amp; T.J SLOAN</t>
  </si>
  <si>
    <t>THE TRUSTEE FOR THE SPIERS EARTHWORKS TRUST</t>
  </si>
  <si>
    <t>The Trustee for THE SWEETMAN NO 2 TRUST</t>
  </si>
  <si>
    <t>The Trustee for The Sydney-Smith Family Trust</t>
  </si>
  <si>
    <t>THE TRUSTEE FOR WA LIMESTONE UNIT TRUST</t>
  </si>
  <si>
    <t>TUMA HOLDINGS PTY LTD</t>
  </si>
  <si>
    <t>URBAN RESOURCES PTY LTD</t>
  </si>
  <si>
    <t>VERNICE PTY LTD</t>
  </si>
  <si>
    <t>VINCI GRAVEL SUPPLIES PTY LTD</t>
  </si>
  <si>
    <t>WAROONA RESOURCES PTY LTD</t>
  </si>
  <si>
    <t>WASTE STREAM MANAGEMENT</t>
  </si>
  <si>
    <t>Construction Materials Total</t>
  </si>
  <si>
    <t>ABRA MINING PTY LIMITED</t>
  </si>
  <si>
    <t>ANAX METALS LIMITED</t>
  </si>
  <si>
    <t>CYPRIUM SERVICES PTY LTD</t>
  </si>
  <si>
    <t>FOX RADIO HILL PTY LTD</t>
  </si>
  <si>
    <t>GOLDEN GROVE OPERATIONS PTY LTD</t>
  </si>
  <si>
    <t>QUBE BULK PTY LTD</t>
  </si>
  <si>
    <t>ROSSLYN HILL MINING PTY LTD</t>
  </si>
  <si>
    <t>ROUND OAK JAGUAR PTY LTD</t>
  </si>
  <si>
    <t>SANDFIRE RESOURCES LIMITED</t>
  </si>
  <si>
    <t>ARGYLE DIAMONDS LIMITED</t>
  </si>
  <si>
    <t>INDIA BORE DIAMOND HOLDINGS PTY LTD</t>
  </si>
  <si>
    <t>Diatomite - Spongolite</t>
  </si>
  <si>
    <t>SOUTHERN SPONGELITE INDUSTRIES PTY LTD</t>
  </si>
  <si>
    <t>Diatomite - Spongolite Total</t>
  </si>
  <si>
    <t>Dimension Stone</t>
  </si>
  <si>
    <t>COSMIC RESOURCES PTY LTD</t>
  </si>
  <si>
    <t>DIMENSION STONE GROUP AUSTRALIA PTY LTD</t>
  </si>
  <si>
    <t>KARRATHA GREENSTONE PTY LTD</t>
  </si>
  <si>
    <t>LIMESTONE BUILDING BLOCKS COMPANY PTY. LTD.</t>
  </si>
  <si>
    <t>LUNARD PTY LTD</t>
  </si>
  <si>
    <t>PILBARA STONE HOLDINGS PTY LTD</t>
  </si>
  <si>
    <t>Q KRETE PTY LTD</t>
  </si>
  <si>
    <t>Q STONE PTY LTD</t>
  </si>
  <si>
    <t>STONE DIMENSIONS AUSTRALIA PTY LTD</t>
  </si>
  <si>
    <t>Dimension Stone Total</t>
  </si>
  <si>
    <t>Gem &amp; Semi-Precious Stones</t>
  </si>
  <si>
    <t>AUSTRALIA MENZIES EMERALD PTY LTD</t>
  </si>
  <si>
    <t>Gem &amp; Semi-Precious Stones Total</t>
  </si>
  <si>
    <t>ABALONE (WA) PTY LTD</t>
  </si>
  <si>
    <t>AGNEW GOLD MINING COMPANY PTY LIMITED</t>
  </si>
  <si>
    <t>ANDY WELL MINING PTY LTD</t>
  </si>
  <si>
    <t>ANGLOGOLD ASHANTI AUSTRALIA LIMITED</t>
  </si>
  <si>
    <t>ARAGON RESOURCES PTY LTD</t>
  </si>
  <si>
    <t>AURENNE MT IDA PTY LTD</t>
  </si>
  <si>
    <t>AURENNE PARKER RANGE PTY LTD</t>
  </si>
  <si>
    <t>AURUMIN MT PALMER PTY LTD</t>
  </si>
  <si>
    <t>AVOCA RESOURCES PTY LTD</t>
  </si>
  <si>
    <t>BARTO GOLD MINING PTY LTD</t>
  </si>
  <si>
    <t>BEACON MINING PTY LTD</t>
  </si>
  <si>
    <t>BIG BELL GOLD OPERATIONS PTY LTD</t>
  </si>
  <si>
    <t>BK GOLD MINES PTY LTD</t>
  </si>
  <si>
    <t>BLACK CAT SYNDICATE LIMITED</t>
  </si>
  <si>
    <t>BMGS MENZIES PTY LTD</t>
  </si>
  <si>
    <t>BMGS PERTH PTY LTD</t>
  </si>
  <si>
    <t>BML VENTURES PTY LTD</t>
  </si>
  <si>
    <t>BRIGHTSTAR RESOURCES LIMITED</t>
  </si>
  <si>
    <t>BULLABULLING PTY LTD</t>
  </si>
  <si>
    <t>BULLFINCH RADIO PTY LTD</t>
  </si>
  <si>
    <t>CAMPBELL, ERNEST EDWARD</t>
  </si>
  <si>
    <t>CLASSIC MINERALS LIMITED</t>
  </si>
  <si>
    <t>CLIFTON EARTHMOVING PTY LTD</t>
  </si>
  <si>
    <t>COIL GROUP PTY LTD</t>
  </si>
  <si>
    <t>CORINTHIAN MINING PTY LTD</t>
  </si>
  <si>
    <t>DARLOT MINING COMPANY PTY LTD</t>
  </si>
  <si>
    <t>DAWSONS MINING PTY LTD</t>
  </si>
  <si>
    <t>DEFLECTOR MINING LIMITED</t>
  </si>
  <si>
    <t>DULCIE OPERATIONS</t>
  </si>
  <si>
    <t>EDNA MAY OPERATIONS PTY LTD</t>
  </si>
  <si>
    <t>EGAN STREET ROTHSAY PTY LTD</t>
  </si>
  <si>
    <t>EVOLUTION MINING (MUNGARI) PTY LTD</t>
  </si>
  <si>
    <t>FARNO-MCMAHON PTY. LTD.</t>
  </si>
  <si>
    <t>FOCUS MINERALS LTD</t>
  </si>
  <si>
    <t>GENESIS MINERALS LIMITED</t>
  </si>
  <si>
    <t>GOLD CORPORATION</t>
  </si>
  <si>
    <t>GOLDEN MILE MILLING PTY LTD</t>
  </si>
  <si>
    <t>GOLDEN SPUR RESOURCES PTY LTD</t>
  </si>
  <si>
    <t>GOLDVIEW METALS PTY LTD</t>
  </si>
  <si>
    <t>GREENMOUNT RESOURCES PTY LTD</t>
  </si>
  <si>
    <t>GREENSTONE RESOURCES (WA) PTY LTD</t>
  </si>
  <si>
    <t>GRUYERE MANAGEMENT PTY LTD</t>
  </si>
  <si>
    <t>GSM MINING COMPANY PTY LTD</t>
  </si>
  <si>
    <t>HABROK (BATTLER PIT) PTY LTD</t>
  </si>
  <si>
    <t>HABROK (GEKO PIT) PTY LTD</t>
  </si>
  <si>
    <t>HALLS CREEK MINING PTY LTD</t>
  </si>
  <si>
    <t>HAOMA MINING NL</t>
  </si>
  <si>
    <t>HAWTHORN RESOURCES LIMITED</t>
  </si>
  <si>
    <t>KALGOORLIE CONSOLIDATED GOLD MINES PTY LTD</t>
  </si>
  <si>
    <t>KERAS (PILBARA) GOLD PTY LTD</t>
  </si>
  <si>
    <t>KIRKALOCKA GOLD SPV PTY LTD</t>
  </si>
  <si>
    <t>Laurence John Molloy</t>
  </si>
  <si>
    <t>LEGACY IRON ORE LTD</t>
  </si>
  <si>
    <t>LINDEN GOLD PTY LTD</t>
  </si>
  <si>
    <t>LINDSAY'S FIND PTY LTD</t>
  </si>
  <si>
    <t>LLOYD GEORGE MINING PTY LTD</t>
  </si>
  <si>
    <t>LRL (AUST) PTY LTD</t>
  </si>
  <si>
    <t>LUKAH MINING PTY LTD</t>
  </si>
  <si>
    <t>MACPHERSONS RESOURCES LIMITED</t>
  </si>
  <si>
    <t>MARDA OPERATIONS PTY LTD</t>
  </si>
  <si>
    <t>MATSA GOLD PTY LTD</t>
  </si>
  <si>
    <t>MC VERDE MINERALS PTY LTD</t>
  </si>
  <si>
    <t>MILLENNIUM MINERALS PTY LTD</t>
  </si>
  <si>
    <t>MINJAR GOLD PTY LTD</t>
  </si>
  <si>
    <t>MT MAGNET GOLD PTY LTD</t>
  </si>
  <si>
    <t>MT MORGANS WA MINING PTY LTD</t>
  </si>
  <si>
    <t>NEWCREST MINING LIMITED</t>
  </si>
  <si>
    <t>NEWMONT BODDINGTON GOLD PTY LTD</t>
  </si>
  <si>
    <t>NEX METALS EXPLORATIONS LTD</t>
  </si>
  <si>
    <t>NORTHERN STAR (CAROSUE DAM) PTY LTD</t>
  </si>
  <si>
    <t>NORTHERN STAR (HBJ) PTY LTD</t>
  </si>
  <si>
    <t>NORTHERN STAR (THUNDERBOX) PTY LTD</t>
  </si>
  <si>
    <t>NORTHERN STAR RESOURCES LTD</t>
  </si>
  <si>
    <t>NORTON GOLD FIELDS LTD</t>
  </si>
  <si>
    <t>ORA BANDA MINING LTD</t>
  </si>
  <si>
    <t>ORMINEX PENNY'S FIND PTY LTD</t>
  </si>
  <si>
    <t>PANTORO SOUTH PTY LTD</t>
  </si>
  <si>
    <t>PAYNES FIND MINING PTY LTD</t>
  </si>
  <si>
    <t>PENNY OPERATIONS PTY LTD</t>
  </si>
  <si>
    <t>PHOTIOS, MICHAEL</t>
  </si>
  <si>
    <t>PREMIUM GOLD RECOVERY SERVICES PTY LTD</t>
  </si>
  <si>
    <t>PRUMM CORPORATION PTY LTD</t>
  </si>
  <si>
    <t>RADMAN MINING PTY LTD</t>
  </si>
  <si>
    <t>RAMELIUS RESOURCES LIMITED</t>
  </si>
  <si>
    <t>RED OCTOBER GOLD PTY LTD</t>
  </si>
  <si>
    <t>REGIS RESOURCES LIMITED</t>
  </si>
  <si>
    <t>RESOURCE MINING PTY LTD</t>
  </si>
  <si>
    <t>RESOURCES &amp; ENERGY GROUP LIMITED</t>
  </si>
  <si>
    <t>ROXBURY TRADING PTY LTD</t>
  </si>
  <si>
    <t>SANDSTONE OPERATIONS PTY LTD</t>
  </si>
  <si>
    <t>SAXONWOOD HOLDINGS PTY LTD</t>
  </si>
  <si>
    <t>SHERWOOD ENGINEERS PTY. LTD.</t>
  </si>
  <si>
    <t>SILVER LAKE RESOURCES LIMITED</t>
  </si>
  <si>
    <t>SPARTAN RESOURCES LIMITED</t>
  </si>
  <si>
    <t>ST BARBARA LIMITED</t>
  </si>
  <si>
    <t>ST IVES GOLD MINING COMPANY PTY LIMITED</t>
  </si>
  <si>
    <t>TAMPIA OPERATIONS PTY LTD</t>
  </si>
  <si>
    <t>THE TRUSTEE FOR FMR UNIT TRUST</t>
  </si>
  <si>
    <t>TORQUE METALS LIMITED</t>
  </si>
  <si>
    <t>VANGO MINING LIMITED</t>
  </si>
  <si>
    <t>WILDY, Dylan</t>
  </si>
  <si>
    <t>WILUNA OPERATIONS PTY LTD</t>
  </si>
  <si>
    <t>WMINES PTY LTD</t>
  </si>
  <si>
    <t>YILGANGI QUEEN GOLDMINES PTY LTD</t>
  </si>
  <si>
    <t>Gold Total</t>
  </si>
  <si>
    <t>Gypsum</t>
  </si>
  <si>
    <t>C.A BYWATERS &amp; P.J BYWATERS</t>
  </si>
  <si>
    <t>CSR BUILDING PRODUCTS LIMITED</t>
  </si>
  <si>
    <t>LAKE HILLMAN MINING PTY LTD</t>
  </si>
  <si>
    <t>LAKESIDE MINERALS PTY LTD</t>
  </si>
  <si>
    <t>M.J KALAJZIC &amp; R.J KALAJZIC &amp; S.M KALAJZIC</t>
  </si>
  <si>
    <t>RN HEBITON &amp; LM HEBITON</t>
  </si>
  <si>
    <t>THE TRUSTEE FOR WESTDEEN UNIT TRUST</t>
  </si>
  <si>
    <t>TRIPLE M TRANSPORT (WA) PTY LTD</t>
  </si>
  <si>
    <t>WHITFIELD MINERALS PTY LTD</t>
  </si>
  <si>
    <t>Gypsum Total</t>
  </si>
  <si>
    <t>ATLAS IRON PTY LTD</t>
  </si>
  <si>
    <t>BHP BILLITON IRON ORE PTY. LTD.</t>
  </si>
  <si>
    <t>CITIC PACIFIC MINING MANAGEMENT PTY LTD</t>
  </si>
  <si>
    <t>COCKATOO ISLAND MINING PTY LTD</t>
  </si>
  <si>
    <t>CROSSLANDS RESOURCES LTD</t>
  </si>
  <si>
    <t>FENIX RESOURCES LTD</t>
  </si>
  <si>
    <t>FORTESCUE METALS GROUP LTD</t>
  </si>
  <si>
    <t>GERALDTON BULK HANDLING PTY LTD</t>
  </si>
  <si>
    <t>GWR GROUP LIMITED</t>
  </si>
  <si>
    <t>HAMERSLEY HMS PTY LTD</t>
  </si>
  <si>
    <t>HAMERSLEY IRON - YANDI PTY LIMITED</t>
  </si>
  <si>
    <t>HAMERSLEY IRON PTY. LIMITED</t>
  </si>
  <si>
    <t>IB OPERATIONS PTY LTD</t>
  </si>
  <si>
    <t>INDUS MINING SERVICES PTY LTD</t>
  </si>
  <si>
    <t>KARARA MINING LIMITED</t>
  </si>
  <si>
    <t>KMG MINING PTY LTD</t>
  </si>
  <si>
    <t>KOOLAN IRON ORE PTY LTD</t>
  </si>
  <si>
    <t>MINERAL RESOURCES LIMITED</t>
  </si>
  <si>
    <t>MOUNT BRUCE MINING PTY LIMITED</t>
  </si>
  <si>
    <t>MOUNT GIBSON MINING LIMITED</t>
  </si>
  <si>
    <t>NEWCAM MINERALS PTY LTD</t>
  </si>
  <si>
    <t>ONSLOW INFRACO PTY LTD</t>
  </si>
  <si>
    <t>ONSLOW IRON PTY LTD</t>
  </si>
  <si>
    <t>PAULSENS EAST IRON ORE PTY LTD</t>
  </si>
  <si>
    <t>PEARL GULL IRON LIMITED</t>
  </si>
  <si>
    <t>PILBARA IRON COMPANY (SERVICES) PTY LTD</t>
  </si>
  <si>
    <t>PILBARA RESOURCE GROUP PTY. LTD.</t>
  </si>
  <si>
    <t>POLARIS METALS PTY LTD</t>
  </si>
  <si>
    <t>PROCESS MINERALS INTERNATIONAL PTY LTD</t>
  </si>
  <si>
    <t>ROBE RIVER MINING CO. PTY. LTD.</t>
  </si>
  <si>
    <t>ROY HILL HOLDINGS PTY LTD</t>
  </si>
  <si>
    <t>ROY HILL IRON ORE PTY LTD</t>
  </si>
  <si>
    <t>SMS INNOVATIVE MINING PTY LTD</t>
  </si>
  <si>
    <t>TERRA MINING PTY LTD</t>
  </si>
  <si>
    <t>WILUNA FE PTY LTD</t>
  </si>
  <si>
    <t>WONMUNNA IRON ORE PTY LTD</t>
  </si>
  <si>
    <t>Iron Ore Total</t>
  </si>
  <si>
    <t>AGXPRESS PTY LTD</t>
  </si>
  <si>
    <t>ALLTRACK WA PTY LTD</t>
  </si>
  <si>
    <t>ATTWELL, GERARD MAJELLA</t>
  </si>
  <si>
    <t>BEACHBOROUGH PTY LTD</t>
  </si>
  <si>
    <t>CENTRAL EARTHMOVING COMPANY PTY LTD</t>
  </si>
  <si>
    <t>CHARLES HULL CONTRACTING CO. PTY LTD</t>
  </si>
  <si>
    <t>COCKBURN CEMENT LIMITED</t>
  </si>
  <si>
    <t>DG &amp; H WILSON</t>
  </si>
  <si>
    <t>DOUST ENTERPRISES (WA) PTY LTD</t>
  </si>
  <si>
    <t>EXMOUTH QUARRIES &amp; CONCRETE PTY LTD</t>
  </si>
  <si>
    <t>KARLU GRAZING PTY. LTD.</t>
  </si>
  <si>
    <t>L'HARIDON BIGHT MINING PTY LTD</t>
  </si>
  <si>
    <t>LIME INDUSTRIES PTY LTD</t>
  </si>
  <si>
    <t>METEOR STONE</t>
  </si>
  <si>
    <t>NIGEL PALMER EARTHMOVING PTY LTD</t>
  </si>
  <si>
    <t>OMAHA NOMINEES PTY LTD</t>
  </si>
  <si>
    <t>PIACENTINI &amp; SON PTY LTD</t>
  </si>
  <si>
    <t>RC &amp; D KOWALD</t>
  </si>
  <si>
    <t>REDGATE HOLDINGS PTY LTD</t>
  </si>
  <si>
    <t>THE PETER RAYNER FAMILY TRUST</t>
  </si>
  <si>
    <t>The Trustee for CANDELORO FARM TRUST</t>
  </si>
  <si>
    <t>THE TRUSTEE FOR JURIEN LIME SANDS UNIT TRUST</t>
  </si>
  <si>
    <t>WA LIMESTONE AND ITALIA STONE GROUP JOINT VENTURE</t>
  </si>
  <si>
    <t>WALCO WESTERN AGRICULTURAL LIME COMPANY (AUSTRALIA)</t>
  </si>
  <si>
    <t>WANDIN HILL PTY LTD</t>
  </si>
  <si>
    <t>COVALENT LITHIUM PTY LTD</t>
  </si>
  <si>
    <t>GALAXY LITHIUM AUSTRALIA LIMITED</t>
  </si>
  <si>
    <t>GLOBAL ADVANCED METALS GREENBUSHES PTY LTD</t>
  </si>
  <si>
    <t>LITHCO NO.2 PTY LTD</t>
  </si>
  <si>
    <t>MARBL LITHIUM OPERATIONS PTY LTD</t>
  </si>
  <si>
    <t>PILBARA MINERALS LIMITED</t>
  </si>
  <si>
    <t>TALISON LITHIUM AUSTRALIA PTY LTD</t>
  </si>
  <si>
    <t>The Trustee for THE DAVID CAMPBELL TRUST</t>
  </si>
  <si>
    <t>VALDREW NOMINEES PTY LTD</t>
  </si>
  <si>
    <t>Lithium Total</t>
  </si>
  <si>
    <t>Magnesite</t>
  </si>
  <si>
    <t>ASHBRIDGE HOLDINGS PTY LTD</t>
  </si>
  <si>
    <t>Magnesite Total</t>
  </si>
  <si>
    <t>BRYAH RESOURCES LIMITED</t>
  </si>
  <si>
    <t>ELEMENT 25 LIMITED</t>
  </si>
  <si>
    <t>PILBARA MANGANESE PTY LTD</t>
  </si>
  <si>
    <t>AUSTRALIAN GARNET PTY LTD</t>
  </si>
  <si>
    <t>BHP TITANIUM MINERALS PTY LTD</t>
  </si>
  <si>
    <t>DORAL MINERAL SANDS PTY LTD</t>
  </si>
  <si>
    <t>GMA GARNET PTY LTD</t>
  </si>
  <si>
    <t>ILUKA RESOURCES LIMITED</t>
  </si>
  <si>
    <t>IMAGE RESOURCES NL</t>
  </si>
  <si>
    <t>KEYSBROOK LEUCOXENE PTY LTD</t>
  </si>
  <si>
    <t>STRANDLINE RESOURCES LIMITED</t>
  </si>
  <si>
    <t>THUNDERBIRD OPERATIONS PTY LTD</t>
  </si>
  <si>
    <t>TRONOX MANAGEMENT PTY LTD</t>
  </si>
  <si>
    <t>TRONOX MINING AUSTRALIA LIMITED</t>
  </si>
  <si>
    <t>Mineral Sands Total</t>
  </si>
  <si>
    <t>BHP NICKEL WEST PTY LTD</t>
  </si>
  <si>
    <t>CHERISH METALS PTY LTD</t>
  </si>
  <si>
    <t>FQM AUSTRALIA NICKEL PTY LTD</t>
  </si>
  <si>
    <t>GOLDFIELDS MINE MANAGEMENT PTY LTD</t>
  </si>
  <si>
    <t>IGO LIMITED</t>
  </si>
  <si>
    <t>INDEPENDENCE NOVA PTY LTD</t>
  </si>
  <si>
    <t>MINCOR LONG PTY LTD</t>
  </si>
  <si>
    <t>MINCOR OPERATIONS PTY LTD</t>
  </si>
  <si>
    <t>MURRIN MURRIN OPERATIONS PTY LTD</t>
  </si>
  <si>
    <t>NORTHERN STAR (TALISMAN) PTY LTD</t>
  </si>
  <si>
    <t>OZ MINERALS MUSGRAVE OPERATIONS PTY LTD</t>
  </si>
  <si>
    <t>POSEIDON NICKEL LIMITED</t>
  </si>
  <si>
    <t>SAVANNAH NICKEL MINES PTY LTD</t>
  </si>
  <si>
    <t>WINGSTAR INVESTMENTS PTY LTD</t>
  </si>
  <si>
    <t>Nickel Total</t>
  </si>
  <si>
    <t>Phosphate</t>
  </si>
  <si>
    <t>PHOSPHATE RESOURCES LIMITED</t>
  </si>
  <si>
    <t>Phosphate Total</t>
  </si>
  <si>
    <t>Pigments</t>
  </si>
  <si>
    <t>Pigments Total</t>
  </si>
  <si>
    <t>Potash</t>
  </si>
  <si>
    <t>AGRIMIN POTASH PTY LTD</t>
  </si>
  <si>
    <t>AUSTRALIAN POTASH LIMITED</t>
  </si>
  <si>
    <t>KALIUM LAKES POTASH PTY LTD</t>
  </si>
  <si>
    <t>PIPER PRESTON PTY. LTD.</t>
  </si>
  <si>
    <t>SALT LAKE POTASH LIMITED</t>
  </si>
  <si>
    <t>Potash Total</t>
  </si>
  <si>
    <t>Rare Earths</t>
  </si>
  <si>
    <t>HASTINGS TECHNOLOGY METALS LTD</t>
  </si>
  <si>
    <t>LYNAS KALGOORLIE PTY LTD</t>
  </si>
  <si>
    <t>MT WELD MINING PTY LIMITED</t>
  </si>
  <si>
    <t>NORTHERN MINERALS LIMITED</t>
  </si>
  <si>
    <t>Rare Earths Total</t>
  </si>
  <si>
    <t>BCI MINERALS LIMITED</t>
  </si>
  <si>
    <t>DAMPIER SALT LIMITED</t>
  </si>
  <si>
    <t>ONSLOW SALT PTY LTD.</t>
  </si>
  <si>
    <t>SHARK BAY RESOURCES PTY LTD</t>
  </si>
  <si>
    <t>W A SALT KOOLYANOBBING PTY LTD</t>
  </si>
  <si>
    <t>WESTERN SALT REFINERY PTY LTD</t>
  </si>
  <si>
    <t>Salt Total</t>
  </si>
  <si>
    <t>Silica - Silica Sand</t>
  </si>
  <si>
    <t>A.C.N. 065 925 402 PTY. LIMITED</t>
  </si>
  <si>
    <t>KEMERTON SILICA SAND PTY LTD</t>
  </si>
  <si>
    <t>SIMCOA OPERATIONS PTY. LTD.</t>
  </si>
  <si>
    <t>Silica - Silica Sand Total</t>
  </si>
  <si>
    <t>Silver</t>
  </si>
  <si>
    <t>Silver Total</t>
  </si>
  <si>
    <t>Talc</t>
  </si>
  <si>
    <t>IMERYS TALC AUSTRALIA PTY LTD</t>
  </si>
  <si>
    <t>IMI FABI (AUSTRALIA) PTY LTD</t>
  </si>
  <si>
    <t>Talc Total</t>
  </si>
  <si>
    <t>Uranium</t>
  </si>
  <si>
    <t>VIMY RESOURCES LIMITED</t>
  </si>
  <si>
    <t>Uranium Total</t>
  </si>
  <si>
    <t>Vanadium - Titanium</t>
  </si>
  <si>
    <t>ATLANTIC VANADIUM PTY LTD</t>
  </si>
  <si>
    <t>Vanadium - Titanium Total</t>
  </si>
  <si>
    <t>NORSCA HOLDINGS PTY LTD</t>
  </si>
  <si>
    <t>TRANSALTA ENERGY (AUSTRALIA) PTY LTD</t>
  </si>
  <si>
    <t>Unassigned and Other Total</t>
  </si>
  <si>
    <t>Grand Total</t>
  </si>
  <si>
    <t>Mining FTEs By Calendar Year Pre-2001</t>
  </si>
  <si>
    <t>Click to Select: FTE (Full Time Equivalent)</t>
  </si>
  <si>
    <t>Click to Select: Average Number of Individuals</t>
  </si>
  <si>
    <t>Petroleum Employed Persons</t>
  </si>
  <si>
    <t>Full-time</t>
  </si>
  <si>
    <t>Part-time</t>
  </si>
  <si>
    <t>Petroleum FTEs</t>
  </si>
  <si>
    <t>Company Employees</t>
  </si>
  <si>
    <t>Marine Crew</t>
  </si>
  <si>
    <t>Value</t>
  </si>
  <si>
    <t>State</t>
  </si>
  <si>
    <t>FY H1</t>
  </si>
  <si>
    <t>Copper</t>
  </si>
  <si>
    <t>WA</t>
  </si>
  <si>
    <t>Silver, Lead, Zinc</t>
  </si>
  <si>
    <t>Nickel, cobalt</t>
  </si>
  <si>
    <t>Nickel, Cobalt</t>
  </si>
  <si>
    <t>Mineral Exploration Expenditure By Commodity ($ Million)</t>
  </si>
  <si>
    <t>Offset</t>
  </si>
  <si>
    <t>Western Australia</t>
  </si>
  <si>
    <t>Rest of Australia</t>
  </si>
  <si>
    <t>Australia</t>
  </si>
  <si>
    <t>Western Australia
($ Million)</t>
  </si>
  <si>
    <t>Rest of Australia
($ Million)</t>
  </si>
  <si>
    <t>Australia
($ Million)</t>
  </si>
  <si>
    <t>Western Australia 
($ Million)</t>
  </si>
  <si>
    <t>Western Australia Share of Australia New Deposits</t>
  </si>
  <si>
    <t>Western Australia Share of Australia Existing Deposits</t>
  </si>
  <si>
    <t>Rest of Australia 
($ Million)</t>
  </si>
  <si>
    <t xml:space="preserve"> Australia 
($ Million)</t>
  </si>
  <si>
    <t>New Deposits Share of Western Australia</t>
  </si>
  <si>
    <t xml:space="preserve"> Rest of Australia New Deposits ($ Million)</t>
  </si>
  <si>
    <t>Rest of Australia Existing Deposits 
($ Million)</t>
  </si>
  <si>
    <t xml:space="preserve"> Australia Existing Deposits 
($ Million)</t>
  </si>
  <si>
    <t>Western Australia New Deposits 
($ Million)</t>
  </si>
  <si>
    <t xml:space="preserve"> Rest of Australia New Deposits 
($ Million)</t>
  </si>
  <si>
    <t xml:space="preserve"> Australia New Deposits 
($ Million)</t>
  </si>
  <si>
    <t>Western Australia Existing Deposits 
($ Million)</t>
  </si>
  <si>
    <t>Australia Onshore Drilling 
($ Million)</t>
  </si>
  <si>
    <t>Australia Onshore Other 
($ Million)</t>
  </si>
  <si>
    <t>Australian Onshore Total 
($ Million)</t>
  </si>
  <si>
    <t>Australia Offshore Drilling 
($ Million)</t>
  </si>
  <si>
    <t>Australia Offshore Other 
($ Million)</t>
  </si>
  <si>
    <t>Australia Offshore Total 
($ Million)</t>
  </si>
  <si>
    <t>Australia Total 
($ Million)</t>
  </si>
  <si>
    <t>2023-24</t>
  </si>
  <si>
    <t>Employment in the WA mining and mineral exploration industry in WA by Project over the past two years.</t>
  </si>
  <si>
    <t>Mining Employment By Project</t>
  </si>
  <si>
    <t>Project</t>
  </si>
  <si>
    <t>Jarrahdale - Kwinana</t>
  </si>
  <si>
    <t>Wagerup-Pinjarra / Alcoa</t>
  </si>
  <si>
    <t>Worsley</t>
  </si>
  <si>
    <t>Rockingham Fused Zirconia-Alumina</t>
  </si>
  <si>
    <t>Cardup - Keysbrook - Toodyay / Austral Bricks</t>
  </si>
  <si>
    <t>Lake Nerramyne</t>
  </si>
  <si>
    <t>Bullsbrook - Toodyay / BGC</t>
  </si>
  <si>
    <t>Upper Swan - Red Hill / Midland Brick</t>
  </si>
  <si>
    <t>Sandy Ridge Kaolin / Tellus</t>
  </si>
  <si>
    <t>Wickepin Kaolin</t>
  </si>
  <si>
    <t>Watheroo Clays</t>
  </si>
  <si>
    <t>Collie / Premier</t>
  </si>
  <si>
    <t>Collie / Lanco</t>
  </si>
  <si>
    <t>Albany Construction Materials / AD Contractors</t>
  </si>
  <si>
    <t>Christmas Island Limestone</t>
  </si>
  <si>
    <t>Coalfields Highway / APH</t>
  </si>
  <si>
    <t>Albany / Armogedin (Great Southern Sands/Spinifex)</t>
  </si>
  <si>
    <t>Karnup Sand / Mandurah Sand</t>
  </si>
  <si>
    <t>Walkaway Sand / Australasian Sands</t>
  </si>
  <si>
    <t>Clackline-Toodyay Road Gravel / Jones</t>
  </si>
  <si>
    <t>Winchester</t>
  </si>
  <si>
    <t>Port Hedland Sand and Gravel / Young</t>
  </si>
  <si>
    <t>Bunbury - Harvey / Versaci</t>
  </si>
  <si>
    <t>Collie / Catalano</t>
  </si>
  <si>
    <t>Gidgegannup / Catalano</t>
  </si>
  <si>
    <t>Harvey / Catalano</t>
  </si>
  <si>
    <t>Bardies Well Aggregate</t>
  </si>
  <si>
    <t>Metricup Sand / Cook Industrial Minerals</t>
  </si>
  <si>
    <t>The Lakes / BGC</t>
  </si>
  <si>
    <t>Lake Clifton / Cougar</t>
  </si>
  <si>
    <t>Kununurra / Boral</t>
  </si>
  <si>
    <t>Maddington - Orange Grove / Boral</t>
  </si>
  <si>
    <t>Mt Regal / Boral</t>
  </si>
  <si>
    <t>Pilbara Area / Boral</t>
  </si>
  <si>
    <t>Seven Mile Hill / Boral</t>
  </si>
  <si>
    <t>Turner River East Sand / Boral</t>
  </si>
  <si>
    <t>Quinns Rock Sand / Pakk</t>
  </si>
  <si>
    <t>Upper Swan - Walyunga / Stargaze</t>
  </si>
  <si>
    <t>Nowergup Sand / Northsands Resources</t>
  </si>
  <si>
    <t>Hyden East</t>
  </si>
  <si>
    <t>Scahill Sand-Gravel</t>
  </si>
  <si>
    <t>Cookes Hill Aggregate</t>
  </si>
  <si>
    <t>Ellenbrook North - Warbrook Rd</t>
  </si>
  <si>
    <t>Old Coast Road/ NLG</t>
  </si>
  <si>
    <t>McLarty / Carbone</t>
  </si>
  <si>
    <t>Scrubby Hill Limestone / Carnarvon Hardrock</t>
  </si>
  <si>
    <t>Quarry Rd Narrogin</t>
  </si>
  <si>
    <t>Bullsbrook / Congiu</t>
  </si>
  <si>
    <t>Peel Estate / Cook Industrial Minerals</t>
  </si>
  <si>
    <t>Boallia Road Sand</t>
  </si>
  <si>
    <t>Warrawanda / Mallett</t>
  </si>
  <si>
    <t>Creighton Rd / El Paso</t>
  </si>
  <si>
    <t>Brookton Sand / Bassett</t>
  </si>
  <si>
    <t>Mt Burges Gravel and Sand / GFSG</t>
  </si>
  <si>
    <t>Hopeland / Goodfeel</t>
  </si>
  <si>
    <t>Kununurra / Guerinoni</t>
  </si>
  <si>
    <t>Bindoon Hill Gravel Supply</t>
  </si>
  <si>
    <t>Baldivis Rd Baldivis / Hanson</t>
  </si>
  <si>
    <t>Bibra Lake - Miguel Rd / Hanson</t>
  </si>
  <si>
    <t>Byford / Hanson Construction</t>
  </si>
  <si>
    <t>Cane River / Hanson Construction</t>
  </si>
  <si>
    <t>Carbarup Aggregate / Hanson  Construction</t>
  </si>
  <si>
    <t>Gelorup / Hanson</t>
  </si>
  <si>
    <t>Herne Hill / Hanson Construction</t>
  </si>
  <si>
    <t>Learmonth / Hanson Construction</t>
  </si>
  <si>
    <t>Mt Regal / Hanson Construction</t>
  </si>
  <si>
    <t>Turner River / Hanson Construction</t>
  </si>
  <si>
    <t>Albany - Willyung / Holcim</t>
  </si>
  <si>
    <t>Esperance / Holcim</t>
  </si>
  <si>
    <t>Gelorup - Bunbury / Holcim</t>
  </si>
  <si>
    <t>Gosnells / Holcim</t>
  </si>
  <si>
    <t>Jandabup Sand / Holcim</t>
  </si>
  <si>
    <t>Kalgoorlie - Boulder / Holcim</t>
  </si>
  <si>
    <t>Newman Aggregate / Holcim</t>
  </si>
  <si>
    <t>Nickol Bay / Holcim</t>
  </si>
  <si>
    <t>Turner River Aggregate / Holcim</t>
  </si>
  <si>
    <t>Walkaway / Holcim</t>
  </si>
  <si>
    <t>Binningup Sand / Hovey</t>
  </si>
  <si>
    <t>Frankland Park Sand</t>
  </si>
  <si>
    <t>Postans - Kwinana / Danehill-Italia</t>
  </si>
  <si>
    <t>Roelands Quarry</t>
  </si>
  <si>
    <t>Wattleup / Italia</t>
  </si>
  <si>
    <t>Kununurra / JSW</t>
  </si>
  <si>
    <t>Midwest  Sand / Jurien Bay Concrete</t>
  </si>
  <si>
    <t>Maitland River Sand / Karratha Earthmoving</t>
  </si>
  <si>
    <t>Carnarvon Red Sand / KBF</t>
  </si>
  <si>
    <t>Chapman Valley - Beatenally Hill</t>
  </si>
  <si>
    <t>Nillibubbaca - Yeeda / Kimberley Quarry</t>
  </si>
  <si>
    <t>Onslow Camp Dunes / Onslow Resources</t>
  </si>
  <si>
    <t>Dowerin Quarry</t>
  </si>
  <si>
    <t>Busselton-Cowaramup / Leeuwin Civil</t>
  </si>
  <si>
    <t>Criddle Rd / Lenane</t>
  </si>
  <si>
    <t>LYNAM ENTERPRISES PTY LTD</t>
  </si>
  <si>
    <t>Myalup / MGM</t>
  </si>
  <si>
    <t>Doodlakine Aggregate</t>
  </si>
  <si>
    <t>Eight Mile Rock Hole</t>
  </si>
  <si>
    <t>Tarmoola Aggregate / MLG Oz</t>
  </si>
  <si>
    <t>Indee Sand</t>
  </si>
  <si>
    <t>Range Aggregate / MCS</t>
  </si>
  <si>
    <t>Tom Price Aggregate</t>
  </si>
  <si>
    <t>Moore River Sand and Limestone / Moore River Sand</t>
  </si>
  <si>
    <t>Busselton Sand / Piggott</t>
  </si>
  <si>
    <t>Kambalda / Little</t>
  </si>
  <si>
    <t>Nickol Bay Sand / Nickol River Enterprises</t>
  </si>
  <si>
    <t>Mumberkine Sand / Nielsen</t>
  </si>
  <si>
    <t>Pippingarra Quarry / North West Quarries</t>
  </si>
  <si>
    <t>Red Hill / North West Quarries</t>
  </si>
  <si>
    <t>Cossack-Wickham Aggregate / Norwest</t>
  </si>
  <si>
    <t>Karratha Gravel / Norwest</t>
  </si>
  <si>
    <t>Nickol River Gravel / North</t>
  </si>
  <si>
    <t>Point Samson / North</t>
  </si>
  <si>
    <t>Turner River / North</t>
  </si>
  <si>
    <t>Onslow / NTC</t>
  </si>
  <si>
    <t>Ashburton Sand and Shingle / Onslow Resources</t>
  </si>
  <si>
    <t>Onslow Dune Sand / Yarri Mining</t>
  </si>
  <si>
    <t>Waterbank Station Sand</t>
  </si>
  <si>
    <t>Geraldton / Patience Bulk Haulage</t>
  </si>
  <si>
    <t>Victoria Highway - Kununurra</t>
  </si>
  <si>
    <t>Gascoyne River / Ford-Brandenburg</t>
  </si>
  <si>
    <t>Toodyay Quartzite / Rural Stone</t>
  </si>
  <si>
    <t>Cawse / Scorpion</t>
  </si>
  <si>
    <t>Chidlow / Tuma</t>
  </si>
  <si>
    <t>Caraban Limestone / Caraban Limestone and Sand</t>
  </si>
  <si>
    <t>Chichester / Archipelago</t>
  </si>
  <si>
    <t>Mt Regal / Archipelago-Spinifex</t>
  </si>
  <si>
    <t>Laguna Green</t>
  </si>
  <si>
    <t>Flynn Drive Neerabup / Carramar Sand</t>
  </si>
  <si>
    <t>Yallabatharra / Baileys</t>
  </si>
  <si>
    <t>Byford / WA Bluemetal</t>
  </si>
  <si>
    <t>Tianco Sand</t>
  </si>
  <si>
    <t>Abercorn Rd / Great Sand Supplies</t>
  </si>
  <si>
    <t>Moonyoonooka / Pirone</t>
  </si>
  <si>
    <t>Kununurra Shingle / JAB</t>
  </si>
  <si>
    <t>Pivot Hill / JAB</t>
  </si>
  <si>
    <t>Avon Earthworks Sand and Gravel</t>
  </si>
  <si>
    <t>Toodyay Sand / Ringa</t>
  </si>
  <si>
    <t>Hebb Rd Sand / Sloan</t>
  </si>
  <si>
    <t>Exmouth Sand / Exmouth Civil</t>
  </si>
  <si>
    <t>Gascoyne River / Sweetman</t>
  </si>
  <si>
    <t>Gelorup - Ducane Road / Geographe Civil</t>
  </si>
  <si>
    <t>Baldivis Sand / Holcim</t>
  </si>
  <si>
    <t>Flynn Dr Neerabup Lot 21 / WA Land Authority</t>
  </si>
  <si>
    <t>Mandogalup Road / WA Limestone</t>
  </si>
  <si>
    <t>Mt Minnie Granite</t>
  </si>
  <si>
    <t>Port Hedland / Stirling-Swan</t>
  </si>
  <si>
    <t>Wattleup - Russell Road / Hanson Construction</t>
  </si>
  <si>
    <t>Baldivis North / Urban Resources</t>
  </si>
  <si>
    <t>Hope Valley / Urban Resources</t>
  </si>
  <si>
    <t>Karnup Sand / Eclipse</t>
  </si>
  <si>
    <t>King Rd / Caversham</t>
  </si>
  <si>
    <t>Mariginiup-Melaleuca / Urban Resources</t>
  </si>
  <si>
    <t>Mather Dr Neerabup Lot 9003 / City of Wanneroo</t>
  </si>
  <si>
    <t>Thomas Rd - Kwinana / Waste Stream</t>
  </si>
  <si>
    <t>West Coolup / Urban Resources</t>
  </si>
  <si>
    <t>Yanchep Sand / Duffy</t>
  </si>
  <si>
    <t>Toodyay / Vernice</t>
  </si>
  <si>
    <t>Karagullen Gravel / Vinci</t>
  </si>
  <si>
    <t>Richard Rd Waroona / Waroona</t>
  </si>
  <si>
    <t>WINCH-BUIST, William John</t>
  </si>
  <si>
    <t>Koolyanobbing South</t>
  </si>
  <si>
    <t>WORMALL CIVIL PTY LTD</t>
  </si>
  <si>
    <t>Rosa Glen / Silverthorne</t>
  </si>
  <si>
    <t>Abra - Mulgul</t>
  </si>
  <si>
    <t>Whim Creek - Mons Cupri</t>
  </si>
  <si>
    <t>Nifty</t>
  </si>
  <si>
    <t>Golden Grove</t>
  </si>
  <si>
    <t>Esperance Container Facility / QUBE</t>
  </si>
  <si>
    <t>Paroo Station</t>
  </si>
  <si>
    <t>Teutonic Bore - Jaguar</t>
  </si>
  <si>
    <t>DeGrussa - Monty</t>
  </si>
  <si>
    <t>Copper-Lead-Zinc Total</t>
  </si>
  <si>
    <t>Argyle Diamond</t>
  </si>
  <si>
    <t>India Bore</t>
  </si>
  <si>
    <t>Diamond Total</t>
  </si>
  <si>
    <t>Red Gum Spongolite</t>
  </si>
  <si>
    <t>AUSTRAL MASONRY HOLDINGS PTY LTD</t>
  </si>
  <si>
    <t>Fraser Range Granite-Dolerite</t>
  </si>
  <si>
    <t>Donnybrook Sandstone / Cosmic</t>
  </si>
  <si>
    <t>Donnybrook Stone / Italia</t>
  </si>
  <si>
    <t>Mt Regal Chert / Eastone</t>
  </si>
  <si>
    <t>Hopkins Rd Nowergup / Limestone Building Block</t>
  </si>
  <si>
    <t>Postans / Stoneridge</t>
  </si>
  <si>
    <t>Karratha Stone / Bell</t>
  </si>
  <si>
    <t>Karratha Stone / North</t>
  </si>
  <si>
    <t>Parry Range–Maroonah Marbles / Huau Stone</t>
  </si>
  <si>
    <t>Wondanning / Q Stone</t>
  </si>
  <si>
    <t>Glen Florrie White Rocks</t>
  </si>
  <si>
    <t>Nanutarra Marbles</t>
  </si>
  <si>
    <t>Moore River Limestone / WA Limestone</t>
  </si>
  <si>
    <t>Wattle Avenue West Nowergup / Adelaide Brighton</t>
  </si>
  <si>
    <t>Wattleup / WA Limestone</t>
  </si>
  <si>
    <t>Yanchep / WA Limestone</t>
  </si>
  <si>
    <t>Menzies Emerald - Wonder Well</t>
  </si>
  <si>
    <t>Jumbulyer Prospecting</t>
  </si>
  <si>
    <t>Agnew - Emu</t>
  </si>
  <si>
    <t>Murchison Gold - Andy Well - Gnaweeda</t>
  </si>
  <si>
    <t>Sunrise Dam</t>
  </si>
  <si>
    <t>Tropicana</t>
  </si>
  <si>
    <t>Fortnum</t>
  </si>
  <si>
    <t>Bottle Creek</t>
  </si>
  <si>
    <t>Parker Range - Olga Rocks</t>
  </si>
  <si>
    <t>Mt Palmer / Aurumin</t>
  </si>
  <si>
    <t>Higginsville</t>
  </si>
  <si>
    <t>Marvel Loch - Southern Cross</t>
  </si>
  <si>
    <t>Bullabulling North</t>
  </si>
  <si>
    <t>Coolgardie Gold</t>
  </si>
  <si>
    <t>Jaurdi - Cammi's Creek</t>
  </si>
  <si>
    <t>Bullabulling</t>
  </si>
  <si>
    <t>Cue Gold - Central Murchison</t>
  </si>
  <si>
    <t>Murchison / Westgold</t>
  </si>
  <si>
    <t>British King</t>
  </si>
  <si>
    <t>Paulsens</t>
  </si>
  <si>
    <t>Black Jack / Duffy</t>
  </si>
  <si>
    <t>East Menzies Gold</t>
  </si>
  <si>
    <t>Bar Twenty</t>
  </si>
  <si>
    <t>Jeffreys Find</t>
  </si>
  <si>
    <t>Menzies</t>
  </si>
  <si>
    <t>Brightstar / Stone</t>
  </si>
  <si>
    <t>Mangaroon Gold</t>
  </si>
  <si>
    <t>Radio - Bullfinch</t>
  </si>
  <si>
    <t>Young Australian - Munarra Gully North</t>
  </si>
  <si>
    <t>CATALYST (PLUTONIC) PTY LTD</t>
  </si>
  <si>
    <t>Plutonic Gold</t>
  </si>
  <si>
    <t>Kat Gap Gold</t>
  </si>
  <si>
    <t>Central - Southern Cross</t>
  </si>
  <si>
    <t>Burbanks Mill / Maximus</t>
  </si>
  <si>
    <t>Wealth of Nations / Corinthian</t>
  </si>
  <si>
    <t>CRIMSON METALS PTY LTD</t>
  </si>
  <si>
    <t>Mt Gibson Gold</t>
  </si>
  <si>
    <t>Darlot</t>
  </si>
  <si>
    <t>Great Western</t>
  </si>
  <si>
    <t>Grace Darling</t>
  </si>
  <si>
    <t>Deflector</t>
  </si>
  <si>
    <t>Dulcie - Fortuna - Parker Range</t>
  </si>
  <si>
    <t>Edna May - Westonia</t>
  </si>
  <si>
    <t>Symes Find / Mt Hampton</t>
  </si>
  <si>
    <t>Rothsay</t>
  </si>
  <si>
    <t>Castle Hill / Evolution</t>
  </si>
  <si>
    <t>Kundana - White Flag</t>
  </si>
  <si>
    <t>Kundana East</t>
  </si>
  <si>
    <t>Mungari / Evolution</t>
  </si>
  <si>
    <t>Station Peak</t>
  </si>
  <si>
    <t>Coolgardie Gold / Focus</t>
  </si>
  <si>
    <t>Gwalia - Leonora</t>
  </si>
  <si>
    <t>Kookynie - Orient Well</t>
  </si>
  <si>
    <t>Ulysses Gold</t>
  </si>
  <si>
    <t>Perth Mint</t>
  </si>
  <si>
    <t>Hannan South</t>
  </si>
  <si>
    <t>Bellevue</t>
  </si>
  <si>
    <t>Island Gold</t>
  </si>
  <si>
    <t>Karlawinda Gold</t>
  </si>
  <si>
    <t>Tarmoola - King of the Hills</t>
  </si>
  <si>
    <t>Yamarna - Gruyere JV</t>
  </si>
  <si>
    <t>Granny Smith</t>
  </si>
  <si>
    <t>Battler / IMD</t>
  </si>
  <si>
    <t>Halls Creek - Lamboo Gold</t>
  </si>
  <si>
    <t>Bamboo Creek Gold</t>
  </si>
  <si>
    <t>Anglo Saxon - Trouser Legs</t>
  </si>
  <si>
    <t>HORIZON MINERALS LIMITED</t>
  </si>
  <si>
    <t>Boorara / Horizon</t>
  </si>
  <si>
    <t>Golden Mile / KCGM</t>
  </si>
  <si>
    <t>KARORA (LAKEWOOD) PTY LTD</t>
  </si>
  <si>
    <t>Nullagine / Millenium</t>
  </si>
  <si>
    <t>Warrawoona Gold / Calidus</t>
  </si>
  <si>
    <t>Kirkalocka</t>
  </si>
  <si>
    <t>Munarra Gully</t>
  </si>
  <si>
    <t>Mt Celia - Kangaroo Bore</t>
  </si>
  <si>
    <t>Linden Gold</t>
  </si>
  <si>
    <t>Lindsays</t>
  </si>
  <si>
    <t>Gibraltar South / Torian</t>
  </si>
  <si>
    <t>Kathleen Valley Gold / ANI</t>
  </si>
  <si>
    <t>The Mount</t>
  </si>
  <si>
    <t>Marda / Southern Cross</t>
  </si>
  <si>
    <t>Fortitude</t>
  </si>
  <si>
    <t>Kalgoorlie Mint</t>
  </si>
  <si>
    <t>Golden Range</t>
  </si>
  <si>
    <t>Mt Magnet</t>
  </si>
  <si>
    <t>Mt Morgans</t>
  </si>
  <si>
    <t>Paterson / Greatland Gold</t>
  </si>
  <si>
    <t>Telfer / Newcrest</t>
  </si>
  <si>
    <t>Boddington Gold</t>
  </si>
  <si>
    <t>Kookynie / Nex Metals</t>
  </si>
  <si>
    <t>Carosue Dam - Khartoum</t>
  </si>
  <si>
    <t>Deep South - Safari Bore</t>
  </si>
  <si>
    <t>Porphyry - Northern Operations</t>
  </si>
  <si>
    <t>Bulong South Gold</t>
  </si>
  <si>
    <t>South Kalgoorlie Operations</t>
  </si>
  <si>
    <t>Bundarra / Bligh</t>
  </si>
  <si>
    <t>Thunderbox Gold</t>
  </si>
  <si>
    <t>Jundee - Nimary</t>
  </si>
  <si>
    <t>Kanowna - Golden Valley</t>
  </si>
  <si>
    <t>Yandal - Bronzewing</t>
  </si>
  <si>
    <t>Binduli</t>
  </si>
  <si>
    <t>Ora Banda / Norton</t>
  </si>
  <si>
    <t>Paddington - Mt Pleasant</t>
  </si>
  <si>
    <t>Davyhurst - Lady Ida - Mulline - Riverina - Siberia Gold</t>
  </si>
  <si>
    <t>Pennys Find</t>
  </si>
  <si>
    <t>Central Norseman</t>
  </si>
  <si>
    <t>Paynes Find - Daffodil</t>
  </si>
  <si>
    <t>Penny Gold</t>
  </si>
  <si>
    <t>Hawkins Find</t>
  </si>
  <si>
    <t>Zelica - Eucalyptus</t>
  </si>
  <si>
    <t>Pertha M</t>
  </si>
  <si>
    <t>Vivien</t>
  </si>
  <si>
    <t>Red October</t>
  </si>
  <si>
    <t>Duketon / Regis Resources</t>
  </si>
  <si>
    <t>Goongarrie Lady</t>
  </si>
  <si>
    <t>Menzies Battery</t>
  </si>
  <si>
    <t>Sandstone / Alto</t>
  </si>
  <si>
    <t>Kalgoorlie - Hunter St Goldroom</t>
  </si>
  <si>
    <t>O'Conner - Carbon Stripping Plant</t>
  </si>
  <si>
    <t>Historic Gold - East Coolgardie (26)</t>
  </si>
  <si>
    <t>North Monger - Kal East Gold Project</t>
  </si>
  <si>
    <t>Randalls - Mt Monger</t>
  </si>
  <si>
    <t>Dalgaranga - Gilbeys</t>
  </si>
  <si>
    <t>Kambalda - St Ives</t>
  </si>
  <si>
    <t>Tampia</t>
  </si>
  <si>
    <t>TAYLOR, DOUGLAS</t>
  </si>
  <si>
    <t>Primrose</t>
  </si>
  <si>
    <t>Burbanks / REG</t>
  </si>
  <si>
    <t>Gordon - Sirdar</t>
  </si>
  <si>
    <t>Greenfields Plant / FMR</t>
  </si>
  <si>
    <t>GBF Paris</t>
  </si>
  <si>
    <t>Plutonic Dome</t>
  </si>
  <si>
    <t>Min Min Light</t>
  </si>
  <si>
    <t>Matilda</t>
  </si>
  <si>
    <t>Wiluna Gold</t>
  </si>
  <si>
    <t>Yilgangi Queen</t>
  </si>
  <si>
    <t>Lake Goorly Gypsum / Bywaters</t>
  </si>
  <si>
    <t>Jurien Bay North Gypsum</t>
  </si>
  <si>
    <t>Lake Cowcowing North - West Dukin / Lake Hillman</t>
  </si>
  <si>
    <t>Lake Hillman / Adelaide Brighton</t>
  </si>
  <si>
    <t>Lake Hillman Gypsum / Lake Hillman</t>
  </si>
  <si>
    <t>Lakes Cobham-Morris Gypsum / Grant</t>
  </si>
  <si>
    <t>Koorda</t>
  </si>
  <si>
    <t>Cliff Head Gypsum</t>
  </si>
  <si>
    <t>Cowcowing Lakes South - Wyalkatchem / Westdeen</t>
  </si>
  <si>
    <t>Geordie Rock Gypsum</t>
  </si>
  <si>
    <t>Lake Cowan Gypsum / Whitfield</t>
  </si>
  <si>
    <t>10M LIMITED</t>
  </si>
  <si>
    <t>Twin Peaks</t>
  </si>
  <si>
    <t>Abydos</t>
  </si>
  <si>
    <t>Miralga Creek</t>
  </si>
  <si>
    <t>Mt Dove - Turner River</t>
  </si>
  <si>
    <t>Mt Webber</t>
  </si>
  <si>
    <t>Sanjiv Ridge</t>
  </si>
  <si>
    <t>Goldsworthy Iron Ore</t>
  </si>
  <si>
    <t>Jimblebar-Wheelarra-Hashimoto / BHPB</t>
  </si>
  <si>
    <t>Marillana Creek - Yandi / BHPB</t>
  </si>
  <si>
    <t>Mining Area C</t>
  </si>
  <si>
    <t>Newman / BHPB</t>
  </si>
  <si>
    <t>Port Hedland Port Operations / BHPB</t>
  </si>
  <si>
    <t>Sino - Cape Preston Iron</t>
  </si>
  <si>
    <t>Cockatoo Island</t>
  </si>
  <si>
    <t>Jack Hills</t>
  </si>
  <si>
    <t>Iron Ridge</t>
  </si>
  <si>
    <t>Mt Gibson Iron</t>
  </si>
  <si>
    <t>Shine</t>
  </si>
  <si>
    <t>Tallering Peak / Mt Gibson</t>
  </si>
  <si>
    <t>East Pilbara Iron Ore / FMG</t>
  </si>
  <si>
    <t>Herb Elliot Port Operations / FMG</t>
  </si>
  <si>
    <t>Nullagine CID</t>
  </si>
  <si>
    <t>Solomon - Greater Solomon</t>
  </si>
  <si>
    <t>Western Hub / FMG</t>
  </si>
  <si>
    <t>Hope Downs Joint Venture</t>
  </si>
  <si>
    <t>Yandicoogina / HI-Yandi</t>
  </si>
  <si>
    <t>Brockman 2 - Nammuldi - Silvergrass - Homestead / Rio Tinto</t>
  </si>
  <si>
    <t>Brockman 4 Area / Rio Tinto</t>
  </si>
  <si>
    <t>Dampier Port Iron Ore Operations / HI</t>
  </si>
  <si>
    <t>Marandoo / Rio Tinto</t>
  </si>
  <si>
    <t>Paraburdoo / Rio Tinto</t>
  </si>
  <si>
    <t>Tom Price / Rio Tinto</t>
  </si>
  <si>
    <t>HEDLAND MINING PTY LTD</t>
  </si>
  <si>
    <t>Poondano Iron Ore</t>
  </si>
  <si>
    <t>Iron Bridge</t>
  </si>
  <si>
    <t>Ridges Iron Ore</t>
  </si>
  <si>
    <t>Karara - Blue Hills / Gindalbie</t>
  </si>
  <si>
    <t>KIMBERLEY METALS GROUP PTY LTD</t>
  </si>
  <si>
    <t>Koolanooka &amp; Blue Hills - Mungada / Sinosteel</t>
  </si>
  <si>
    <t>Koolan Island</t>
  </si>
  <si>
    <t>Iron Valley</t>
  </si>
  <si>
    <t>Gudai-Darri</t>
  </si>
  <si>
    <t>Mt Gould Iron</t>
  </si>
  <si>
    <t>Ashburton Infrastructure Project (AIP)</t>
  </si>
  <si>
    <t>West Pilbara - Red Hill / API</t>
  </si>
  <si>
    <t>Paulsens East Iron</t>
  </si>
  <si>
    <t>Wiluna West Iron</t>
  </si>
  <si>
    <t>Carina</t>
  </si>
  <si>
    <t>Koolyanobbing Iron</t>
  </si>
  <si>
    <t>Parker Range - Mt Caudan Iron</t>
  </si>
  <si>
    <t>Greater Geraldton Storage Facilities / QUBE</t>
  </si>
  <si>
    <t>Robe River - Deepdale</t>
  </si>
  <si>
    <t>West Angelas</t>
  </si>
  <si>
    <t>Roy Hill Port Infrastructure and Rail</t>
  </si>
  <si>
    <t>Roy Hill Iron Ore</t>
  </si>
  <si>
    <t>Greater Mummaloo</t>
  </si>
  <si>
    <t>Wonmunna Iron</t>
  </si>
  <si>
    <t>Limestone - Limesand</t>
  </si>
  <si>
    <t>Irwin Limesands</t>
  </si>
  <si>
    <t>Cooljarloo Limesand / Dawe</t>
  </si>
  <si>
    <t>Albany Sand / Attwell</t>
  </si>
  <si>
    <t>Ludlow Limestone / Forrest</t>
  </si>
  <si>
    <t>Greenough Limestone</t>
  </si>
  <si>
    <t>Waroona / Charles Hull Contracting</t>
  </si>
  <si>
    <t>Cockburn Sound Limesand</t>
  </si>
  <si>
    <t>Coogee / Cockburn</t>
  </si>
  <si>
    <t>Denison Limesand / Cockburn</t>
  </si>
  <si>
    <t>Loongana Lime</t>
  </si>
  <si>
    <t>Southgate Limesand</t>
  </si>
  <si>
    <t>Grosse Road Limesand / Doust</t>
  </si>
  <si>
    <t>Murat Road Limestone / Exmouth Quarries</t>
  </si>
  <si>
    <t>Flynn Dr Neerabup Lot 22 / WA Land Authority</t>
  </si>
  <si>
    <t>Godel Rd Nowergup / Italia Stone Group</t>
  </si>
  <si>
    <t>Watheroo Dolomitic Lime / Mann</t>
  </si>
  <si>
    <t>L'Haridon Bight</t>
  </si>
  <si>
    <t>Boranup Limesand</t>
  </si>
  <si>
    <t>Ledge Point / Cockburn</t>
  </si>
  <si>
    <t>Wesco Rd - Nowergup / Adelaide Brighton</t>
  </si>
  <si>
    <t>Lancelin Road / Meteor Stone</t>
  </si>
  <si>
    <t>Nullaki Aglime / Robertson</t>
  </si>
  <si>
    <t>Myalup Sand / Lake Preston Lime</t>
  </si>
  <si>
    <t>Capel / Piacentini</t>
  </si>
  <si>
    <t>Beaufort River Dolomite</t>
  </si>
  <si>
    <t>Redgate Lime / Redgate Holdings</t>
  </si>
  <si>
    <t>Green Head Limesand</t>
  </si>
  <si>
    <t>Lancelin / Candeloro</t>
  </si>
  <si>
    <t>Jurien Lime Sands</t>
  </si>
  <si>
    <t>Baldivis - Millar Rd / WA Limestone</t>
  </si>
  <si>
    <t>Postans - Abercrombie Rd / WA Limestone</t>
  </si>
  <si>
    <t>Coolimba Limesand</t>
  </si>
  <si>
    <t>Dongara - Denison / Westdeen Aglime</t>
  </si>
  <si>
    <t>Lancelin / Westdeen</t>
  </si>
  <si>
    <t>Esperance Lime / Triple M</t>
  </si>
  <si>
    <t>Pinjar - Aqua Road Yanchep / Urban Resources</t>
  </si>
  <si>
    <t>Manypeaks Lime / WALCO</t>
  </si>
  <si>
    <t>Dongara Limesand / Whyatt</t>
  </si>
  <si>
    <t>Limestone - Limesand Total</t>
  </si>
  <si>
    <t>Mt Holland Lithium / Wesfarmers &amp; SQM</t>
  </si>
  <si>
    <t>Mt Cattlin Spodumene</t>
  </si>
  <si>
    <t>Greenbushes Tantalum</t>
  </si>
  <si>
    <t>Bald Hill</t>
  </si>
  <si>
    <t>Kathleen Valley Lithium</t>
  </si>
  <si>
    <t>Wodgina Mining Assets / Mineral Resources</t>
  </si>
  <si>
    <t>Pilgangoora / Pilbara Minerals</t>
  </si>
  <si>
    <t>Mt Marion Lithium</t>
  </si>
  <si>
    <t>Greenbushes Lithium</t>
  </si>
  <si>
    <t>Commodity Storage Facilities / David Campbell Transport</t>
  </si>
  <si>
    <t>Kelmscott Process Plant / Nagrom</t>
  </si>
  <si>
    <t>Bandalup Magnesite</t>
  </si>
  <si>
    <t>Manganese Ore</t>
  </si>
  <si>
    <t>Horseshoe Manganese</t>
  </si>
  <si>
    <t>Butcherbird - Yanneri Ridge</t>
  </si>
  <si>
    <t>Woodie Woodie (Mining Corridor) / ConsMin</t>
  </si>
  <si>
    <t>Manganese Ore Total</t>
  </si>
  <si>
    <t>Lucky Bay Garnet</t>
  </si>
  <si>
    <t>Beenup - Karridale / BHP</t>
  </si>
  <si>
    <t>Dardanup / Doral</t>
  </si>
  <si>
    <t>Yalyalup - Yoongarillup / Doral</t>
  </si>
  <si>
    <t>Port Gregory Garnet/GMA</t>
  </si>
  <si>
    <t>Capel / Iluka</t>
  </si>
  <si>
    <t>Cataby / Iluka</t>
  </si>
  <si>
    <t>Eneabba / Iluka</t>
  </si>
  <si>
    <t>Boonanarring - North Perth Basin</t>
  </si>
  <si>
    <t>Keysbrook Heavy Mineral Sands EIL-MTO / Doral</t>
  </si>
  <si>
    <t>Bunbury Storage Facility / QUBE</t>
  </si>
  <si>
    <t>Coburn Zircon</t>
  </si>
  <si>
    <t>Thunderbird - Kimberley Mineral Sands</t>
  </si>
  <si>
    <t>Cooljarloo / Tronox</t>
  </si>
  <si>
    <t>Bunbury Area Operations / Tronox</t>
  </si>
  <si>
    <t>Wonnerup / Tronox</t>
  </si>
  <si>
    <t>Kalgoorlie Nickel Smelter</t>
  </si>
  <si>
    <t>Kambalda / BHP</t>
  </si>
  <si>
    <t>Kwinana Nickel Refinery</t>
  </si>
  <si>
    <t>Leinster</t>
  </si>
  <si>
    <t>Mt Keith / BHP Billiton</t>
  </si>
  <si>
    <t>Lanfranchi Tramways</t>
  </si>
  <si>
    <t>Radio Hill Nickel</t>
  </si>
  <si>
    <t>Ravensthorpe - First Quantum</t>
  </si>
  <si>
    <t>Ken - McCloy / Mincor</t>
  </si>
  <si>
    <t>Cosmos</t>
  </si>
  <si>
    <t>Forrestania Nickel / Western Areas</t>
  </si>
  <si>
    <t>Nova-Bollinger</t>
  </si>
  <si>
    <t>KARORA (BETA HUNT) PTY LTD</t>
  </si>
  <si>
    <t>Kambalda Nickel / RNC</t>
  </si>
  <si>
    <t>Kambalda / Mincor</t>
  </si>
  <si>
    <t>Widgiemooltha Nickel / Mincor</t>
  </si>
  <si>
    <t>Murrin Murrin / Minara</t>
  </si>
  <si>
    <t>Sinclair</t>
  </si>
  <si>
    <t>West Musgrave</t>
  </si>
  <si>
    <t>Lake Johnston / Poseidon</t>
  </si>
  <si>
    <t>Silver Swan - Black Swan</t>
  </si>
  <si>
    <t>Windarra / Poseidon</t>
  </si>
  <si>
    <t>Savannah Nickel</t>
  </si>
  <si>
    <t>Avalon</t>
  </si>
  <si>
    <t>Cawse</t>
  </si>
  <si>
    <t>Christmas Island Phosphate</t>
  </si>
  <si>
    <t>Wilgie Mia - Weld Range</t>
  </si>
  <si>
    <t>Mackay Potash / Agrimin</t>
  </si>
  <si>
    <t>Lake Wells Potash / Australian Potash</t>
  </si>
  <si>
    <t>Beyondie Potash / Kalium Lakes</t>
  </si>
  <si>
    <t>Lake Way Potash / Sev.en</t>
  </si>
  <si>
    <t>Yangibana / Hastings</t>
  </si>
  <si>
    <t>Mt Weld REE / Lynas</t>
  </si>
  <si>
    <t>Browns Range Rare Earths</t>
  </si>
  <si>
    <t>Mardie Salt-Potash / BCI</t>
  </si>
  <si>
    <t>Dampier Salt</t>
  </si>
  <si>
    <t>Lake MacLeod Salt</t>
  </si>
  <si>
    <t>Port Hedland Salt</t>
  </si>
  <si>
    <t>Onslow Salt</t>
  </si>
  <si>
    <t>Shark Bay Salt</t>
  </si>
  <si>
    <t>Lake Deborah East Salt</t>
  </si>
  <si>
    <t>Pink Lake Salt</t>
  </si>
  <si>
    <t>Mindijup / TT Sand</t>
  </si>
  <si>
    <t>Gnangara Silica Sand / Hanson Construction</t>
  </si>
  <si>
    <t>Kemerton Silica Sand</t>
  </si>
  <si>
    <t>Kemerton Silicon / Simcoa</t>
  </si>
  <si>
    <t>Maralla Road Silica Sand</t>
  </si>
  <si>
    <t>Nimbus</t>
  </si>
  <si>
    <t>Three Springs Talc</t>
  </si>
  <si>
    <t>Mt Seabrook Talc</t>
  </si>
  <si>
    <t>DEEP YELLOW LIMITED</t>
  </si>
  <si>
    <t>Mulga Rock</t>
  </si>
  <si>
    <t>Windimurra Vanadium</t>
  </si>
  <si>
    <t>BHP Nickel West Power Supply</t>
  </si>
  <si>
    <t>Kalgoorlie Storage and Loading Facilities / QUBE</t>
  </si>
  <si>
    <t>Northern Goldfields  Solar Project</t>
  </si>
  <si>
    <t>Northam Quarry / Italia Stone Group</t>
  </si>
  <si>
    <t>Spring Gully Rd / Cityworld</t>
  </si>
  <si>
    <t>Ashburton North Strategic Industrial Area</t>
  </si>
  <si>
    <t>Geraldton Port Authority</t>
  </si>
  <si>
    <t>Pilbara Storage Facilities / QUBE</t>
  </si>
  <si>
    <t>Rockingham Bulk Transfer / Qube</t>
  </si>
  <si>
    <t>Unassigned and Other</t>
  </si>
  <si>
    <t>Mining FTEs By Project</t>
  </si>
  <si>
    <t>Western Australia Merchandise Exports</t>
  </si>
  <si>
    <t>Alumina and Bauxite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</si>
</sst>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0_)"/>
    <numFmt numFmtId="165" formatCode="yyyy"/>
    <numFmt numFmtId="166" formatCode="mmm\-yyyy"/>
    <numFmt numFmtId="167" formatCode="0.0%"/>
    <numFmt numFmtId="168" formatCode="0;\-0;0;@"/>
    <numFmt numFmtId="169" formatCode="0.0000000000000"/>
    <numFmt numFmtId="170" formatCode="0.000000"/>
    <numFmt numFmtId="171" formatCode="0.000"/>
    <numFmt numFmtId="172" formatCode="#,##0.000000"/>
    <numFmt numFmtId="173" formatCode="_-* #,##0_-;\-* #,##0_-;_-* &quot;-&quot;??_-;_-@_-"/>
    <numFmt numFmtId="174" formatCode="#,##0.0"/>
    <numFmt numFmtId="175" formatCode="0.0"/>
    <numFmt numFmtId="176" formatCode="_(* #,##0.00_);_(* \(#,##0.00\);_(* &quot;-&quot;??_);_(@_)"/>
    <numFmt numFmtId="177" formatCode="_-* #,##0.0_-;\-* #,##0.0_-;_-* &quot;-&quot;??_-;_-@_-"/>
    <numFmt numFmtId="178" formatCode="#,##0_ ;\-#,##0\ "/>
    <numFmt numFmtId="179" formatCode="0.0;\-0.0;0.0;@"/>
  </numFmts>
  <fonts count="69"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u/>
      <sz val="10"/>
      <color theme="10"/>
      <name val="Arial"/>
      <family val="2"/>
    </font>
    <font>
      <u/>
      <sz val="11"/>
      <color theme="3" tint="0.39997558519241921"/>
      <name val="Calibri"/>
      <family val="2"/>
      <scheme val="minor"/>
    </font>
    <font>
      <b/>
      <sz val="12"/>
      <name val="Arial"/>
      <family val="2"/>
    </font>
    <font>
      <b/>
      <sz val="10"/>
      <color theme="0"/>
      <name val="Arial"/>
      <family val="2"/>
    </font>
    <font>
      <sz val="10"/>
      <name val="Arial"/>
      <family val="2"/>
    </font>
    <font>
      <i/>
      <sz val="11"/>
      <color theme="1"/>
      <name val="Calibri"/>
      <family val="2"/>
      <scheme val="minor"/>
    </font>
    <font>
      <i/>
      <sz val="11"/>
      <color theme="0"/>
      <name val="Calibri"/>
      <family val="2"/>
      <scheme val="minor"/>
    </font>
    <font>
      <sz val="11"/>
      <name val="Calibri"/>
      <family val="2"/>
      <scheme val="minor"/>
    </font>
    <font>
      <sz val="2"/>
      <color theme="0"/>
      <name val="Calibri"/>
      <family val="2"/>
      <scheme val="minor"/>
    </font>
    <font>
      <b/>
      <sz val="11"/>
      <name val="Calibri"/>
      <family val="2"/>
      <scheme val="minor"/>
    </font>
    <font>
      <b/>
      <sz val="9"/>
      <color theme="1"/>
      <name val="Arial"/>
      <family val="2"/>
    </font>
    <font>
      <sz val="8"/>
      <color theme="1"/>
      <name val="Calibri"/>
      <family val="2"/>
      <scheme val="minor"/>
    </font>
    <font>
      <sz val="9"/>
      <color theme="1"/>
      <name val="Arial"/>
      <family val="2"/>
    </font>
    <font>
      <b/>
      <sz val="10"/>
      <name val="Arial"/>
      <family val="2"/>
    </font>
    <font>
      <sz val="10"/>
      <color indexed="8"/>
      <name val="Arial"/>
      <family val="2"/>
    </font>
    <font>
      <sz val="10"/>
      <color theme="1"/>
      <name val="Arial"/>
      <family val="2"/>
    </font>
    <font>
      <sz val="8"/>
      <color rgb="FF000000"/>
      <name val="Arial"/>
      <family val="2"/>
    </font>
    <font>
      <sz val="8"/>
      <color theme="1"/>
      <name val="Arial"/>
      <family val="2"/>
    </font>
    <font>
      <sz val="8"/>
      <name val="Arial"/>
      <family val="2"/>
    </font>
    <font>
      <b/>
      <sz val="8"/>
      <color rgb="FF00B050"/>
      <name val="Arial"/>
      <family val="2"/>
    </font>
    <font>
      <sz val="8"/>
      <color theme="0"/>
      <name val="Arial"/>
      <family val="2"/>
    </font>
    <font>
      <sz val="9"/>
      <name val="Arial"/>
      <family val="2"/>
    </font>
    <font>
      <sz val="2"/>
      <color theme="0"/>
      <name val="Arial"/>
      <family val="2"/>
    </font>
    <font>
      <sz val="9"/>
      <color theme="0"/>
      <name val="Calibri"/>
      <family val="2"/>
      <scheme val="minor"/>
    </font>
    <font>
      <sz val="10"/>
      <color theme="0"/>
      <name val="Calibri"/>
      <family val="2"/>
      <scheme val="minor"/>
    </font>
    <font>
      <sz val="10"/>
      <color rgb="FFFF0000"/>
      <name val="Calibri"/>
      <family val="2"/>
      <scheme val="minor"/>
    </font>
    <font>
      <sz val="10"/>
      <color rgb="FFFF0000"/>
      <name val="Arial"/>
      <family val="2"/>
    </font>
    <font>
      <b/>
      <i/>
      <sz val="13.5"/>
      <color rgb="FFFF0000"/>
      <name val="Calibri"/>
      <family val="2"/>
      <scheme val="minor"/>
    </font>
    <font>
      <sz val="8"/>
      <color rgb="FFFF0000"/>
      <name val="Arial"/>
      <family val="2"/>
    </font>
    <font>
      <sz val="4"/>
      <color theme="0"/>
      <name val="Calibri"/>
      <family val="2"/>
      <scheme val="minor"/>
    </font>
    <font>
      <b/>
      <i/>
      <sz val="12"/>
      <color rgb="FFFF0000"/>
      <name val="Calibri"/>
      <family val="2"/>
      <scheme val="minor"/>
    </font>
    <font>
      <b/>
      <sz val="12"/>
      <color rgb="FFFF0000"/>
      <name val="Calibri"/>
      <family val="2"/>
      <scheme val="minor"/>
    </font>
    <font>
      <b/>
      <sz val="11"/>
      <color rgb="FFFFFFFF"/>
      <name val="Calibri"/>
      <family val="2"/>
      <scheme val="minor"/>
    </font>
    <font>
      <sz val="8"/>
      <name val="Calibri"/>
      <family val="2"/>
      <scheme val="minor"/>
    </font>
    <font>
      <sz val="11"/>
      <color theme="5"/>
      <name val="Calibri"/>
      <family val="2"/>
      <scheme val="minor"/>
    </font>
    <font>
      <b/>
      <sz val="11"/>
      <color rgb="FFFFFFFF"/>
      <name val="Calibri"/>
      <family val="2"/>
    </font>
    <font>
      <i/>
      <sz val="1"/>
      <color theme="0"/>
      <name val="Calibri"/>
      <family val="2"/>
      <scheme val="minor"/>
    </font>
    <font>
      <sz val="8"/>
      <color theme="0"/>
      <name val="Calibri"/>
      <family val="2"/>
      <scheme val="minor"/>
    </font>
    <font>
      <sz val="11"/>
      <color rgb="FF00B050"/>
      <name val="Calibri"/>
      <family val="2"/>
      <scheme val="minor"/>
    </font>
    <font>
      <i/>
      <sz val="8"/>
      <color theme="0"/>
      <name val="Calibri"/>
      <family val="2"/>
      <scheme val="minor"/>
    </font>
    <font>
      <sz val="10"/>
      <color theme="1"/>
      <name val="Calibri"/>
      <family val="2"/>
      <scheme val="minor"/>
    </font>
    <font>
      <b/>
      <sz val="11"/>
      <color rgb="FF00B050"/>
      <name val="Calibri"/>
      <family val="2"/>
      <scheme val="minor"/>
    </font>
    <font>
      <b/>
      <sz val="11"/>
      <color theme="0"/>
      <name val="Calibri"/>
      <family val="2"/>
    </font>
    <font>
      <sz val="14"/>
      <color theme="0"/>
      <name val="Calibri"/>
      <family val="2"/>
      <scheme val="minor"/>
    </font>
    <font>
      <b/>
      <sz val="11"/>
      <color theme="1"/>
      <name val="Calibri"/>
      <family val="2"/>
    </font>
    <font>
      <b/>
      <sz val="1"/>
      <color theme="1"/>
      <name val="Calibri"/>
      <family val="2"/>
      <scheme val="minor"/>
    </font>
    <font>
      <sz val="1"/>
      <color theme="1"/>
      <name val="Calibri"/>
      <family val="2"/>
      <scheme val="minor"/>
    </font>
    <font>
      <sz val="11"/>
      <color rgb="FF21FF85"/>
      <name val="Calibri"/>
      <family val="2"/>
      <scheme val="minor"/>
    </font>
    <font>
      <sz val="11"/>
      <color rgb="FFFFFF00"/>
      <name val="Calibri"/>
      <family val="2"/>
      <scheme val="minor"/>
    </font>
    <font>
      <sz val="11"/>
      <color theme="9"/>
      <name val="Calibri"/>
      <family val="2"/>
      <scheme val="minor"/>
    </font>
    <font>
      <b/>
      <sz val="11"/>
      <color rgb="FF000000"/>
      <name val="Calibri"/>
      <family val="2"/>
    </font>
    <font>
      <sz val="11"/>
      <color theme="1"/>
      <name val="Calibri"/>
      <family val="2"/>
    </font>
    <font>
      <sz val="11"/>
      <color rgb="FF000000"/>
      <name val="Calibri"/>
      <family val="2"/>
    </font>
    <font>
      <sz val="1"/>
      <color theme="0"/>
      <name val="Calibri"/>
      <family val="2"/>
      <scheme val="minor"/>
    </font>
    <font>
      <b/>
      <sz val="8"/>
      <color rgb="FF00B050"/>
      <name val="Calibri"/>
      <family val="2"/>
      <scheme val="minor"/>
    </font>
    <font>
      <sz val="8"/>
      <color rgb="FF00B050"/>
      <name val="Calibri"/>
      <family val="2"/>
      <scheme val="minor"/>
    </font>
    <font>
      <i/>
      <sz val="11"/>
      <color theme="3" tint="0.39997558519241921"/>
      <name val="Calibri"/>
      <family val="2"/>
    </font>
    <font>
      <sz val="11"/>
      <color theme="3" tint="0.39997558519241921"/>
      <name val="Calibri"/>
      <family val="2"/>
      <scheme val="minor"/>
    </font>
    <font>
      <b/>
      <sz val="11"/>
      <color rgb="FFFF0000"/>
      <name val="Calibri"/>
      <family val="2"/>
      <scheme val="minor"/>
    </font>
    <font>
      <b/>
      <sz val="11"/>
      <color rgb="FFFF0000"/>
      <name val="Calibri"/>
      <family val="2"/>
    </font>
    <font>
      <sz val="11"/>
      <color indexed="8"/>
      <name val="Calibri"/>
      <family val="2"/>
    </font>
    <font>
      <b/>
      <sz val="8"/>
      <color theme="0"/>
      <name val="Calibri"/>
      <family val="2"/>
      <scheme val="minor"/>
    </font>
    <font>
      <sz val="14"/>
      <name val="Calibri"/>
      <family val="2"/>
      <scheme val="minor"/>
    </font>
  </fonts>
  <fills count="29">
    <fill>
      <patternFill patternType="none"/>
    </fill>
    <fill>
      <patternFill patternType="gray125"/>
    </fill>
    <fill>
      <patternFill patternType="solid">
        <fgColor theme="5"/>
        <bgColor indexed="64"/>
      </patternFill>
    </fill>
    <fill>
      <patternFill patternType="solid">
        <fgColor theme="6"/>
        <bgColor indexed="64"/>
      </patternFill>
    </fill>
    <fill>
      <patternFill patternType="solid">
        <fgColor theme="6" tint="0.79998168889431442"/>
        <bgColor indexed="64"/>
      </patternFill>
    </fill>
    <fill>
      <patternFill patternType="solid">
        <fgColor theme="5" tint="-0.499984740745262"/>
        <bgColor indexed="64"/>
      </patternFill>
    </fill>
    <fill>
      <patternFill patternType="solid">
        <fgColor theme="3" tint="0.39997558519241921"/>
        <bgColor indexed="64"/>
      </patternFill>
    </fill>
    <fill>
      <patternFill patternType="solid">
        <fgColor theme="3" tint="0.39997558519241921"/>
        <bgColor theme="6"/>
      </patternFill>
    </fill>
    <fill>
      <patternFill patternType="solid">
        <fgColor theme="3" tint="0.79998168889431442"/>
        <bgColor indexed="64"/>
      </patternFill>
    </fill>
    <fill>
      <patternFill patternType="solid">
        <fgColor theme="3" tint="0.39997558519241921"/>
        <bgColor theme="6" tint="0.79998168889431442"/>
      </patternFill>
    </fill>
    <fill>
      <patternFill patternType="solid">
        <fgColor theme="3" tint="0.79998168889431442"/>
        <bgColor theme="6" tint="0.79998168889431442"/>
      </patternFill>
    </fill>
    <fill>
      <patternFill patternType="solid">
        <fgColor theme="0"/>
        <bgColor indexed="64"/>
      </patternFill>
    </fill>
    <fill>
      <patternFill patternType="solid">
        <fgColor theme="0"/>
        <bgColor theme="6" tint="0.79998168889431442"/>
      </patternFill>
    </fill>
    <fill>
      <patternFill patternType="solid">
        <fgColor indexed="47"/>
      </patternFill>
    </fill>
    <fill>
      <patternFill patternType="solid">
        <fgColor theme="9"/>
        <bgColor indexed="64"/>
      </patternFill>
    </fill>
    <fill>
      <patternFill patternType="solid">
        <fgColor theme="9" tint="0.79998168889431442"/>
        <bgColor indexed="64"/>
      </patternFill>
    </fill>
    <fill>
      <patternFill patternType="solid">
        <fgColor rgb="FFF79646"/>
        <bgColor theme="6"/>
      </patternFill>
    </fill>
    <fill>
      <patternFill patternType="solid">
        <fgColor rgb="FFF79646"/>
        <bgColor indexed="64"/>
      </patternFill>
    </fill>
    <fill>
      <patternFill patternType="solid">
        <fgColor rgb="FFF79646"/>
        <bgColor theme="6" tint="0.79998168889431442"/>
      </patternFill>
    </fill>
    <fill>
      <patternFill patternType="solid">
        <fgColor theme="9" tint="0.79998168889431442"/>
        <bgColor theme="6" tint="0.79998168889431442"/>
      </patternFill>
    </fill>
    <fill>
      <patternFill patternType="solid">
        <fgColor theme="9"/>
        <bgColor theme="6"/>
      </patternFill>
    </fill>
    <fill>
      <patternFill patternType="solid">
        <fgColor rgb="FF9BBB59"/>
        <bgColor indexed="64"/>
      </patternFill>
    </fill>
    <fill>
      <patternFill patternType="solid">
        <fgColor rgb="FFC0504D"/>
        <bgColor indexed="64"/>
      </patternFill>
    </fill>
    <fill>
      <patternFill patternType="solid">
        <fgColor theme="5" tint="0.79998168889431442"/>
        <bgColor indexed="64"/>
      </patternFill>
    </fill>
    <fill>
      <patternFill patternType="solid">
        <fgColor rgb="FFF2DCDB"/>
        <bgColor indexed="64"/>
      </patternFill>
    </fill>
    <fill>
      <patternFill patternType="solid">
        <fgColor theme="8"/>
        <bgColor indexed="64"/>
      </patternFill>
    </fill>
    <fill>
      <patternFill patternType="solid">
        <fgColor theme="8" tint="0.79998168889431442"/>
        <bgColor indexed="64"/>
      </patternFill>
    </fill>
    <fill>
      <patternFill patternType="solid">
        <fgColor rgb="FFC0504D"/>
        <bgColor rgb="FF000000"/>
      </patternFill>
    </fill>
    <fill>
      <patternFill patternType="solid">
        <fgColor rgb="FFF2DCDB"/>
        <bgColor rgb="FF000000"/>
      </patternFill>
    </fill>
  </fills>
  <borders count="6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bottom style="medium">
        <color auto="1"/>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medium">
        <color auto="1"/>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auto="1"/>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auto="1"/>
      </left>
      <right style="medium">
        <color indexed="64"/>
      </right>
      <top style="thin">
        <color indexed="64"/>
      </top>
      <bottom style="thin">
        <color auto="1"/>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s>
  <cellStyleXfs count="11">
    <xf numFmtId="0" fontId="0" fillId="0" borderId="0"/>
    <xf numFmtId="176"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xf numFmtId="0" fontId="20" fillId="13" borderId="0" applyNumberFormat="0" applyBorder="0" applyAlignment="0" applyProtection="0"/>
    <xf numFmtId="0" fontId="10" fillId="0" borderId="0"/>
    <xf numFmtId="0" fontId="1" fillId="0" borderId="0"/>
    <xf numFmtId="0" fontId="10" fillId="0" borderId="0"/>
    <xf numFmtId="0" fontId="20" fillId="0" borderId="0"/>
    <xf numFmtId="0" fontId="20" fillId="0" borderId="0"/>
    <xf numFmtId="0" fontId="20" fillId="0" borderId="0"/>
  </cellStyleXfs>
  <cellXfs count="669">
    <xf numFmtId="0" fontId="0" fillId="0" borderId="0" xfId="0"/>
    <xf numFmtId="0" fontId="7" fillId="0" borderId="0" xfId="3" applyFont="1" applyFill="1"/>
    <xf numFmtId="0" fontId="3" fillId="0" borderId="0" xfId="0" applyFont="1"/>
    <xf numFmtId="0" fontId="5" fillId="0" borderId="0" xfId="0" applyFont="1"/>
    <xf numFmtId="0" fontId="4" fillId="0" borderId="0" xfId="0" applyFont="1"/>
    <xf numFmtId="0" fontId="0" fillId="0" borderId="0" xfId="0" applyAlignment="1">
      <alignment wrapText="1"/>
    </xf>
    <xf numFmtId="0" fontId="6" fillId="0" borderId="0" xfId="3" applyFill="1"/>
    <xf numFmtId="49" fontId="8" fillId="0" borderId="0" xfId="0" applyNumberFormat="1" applyFont="1" applyAlignment="1">
      <alignment horizontal="left"/>
    </xf>
    <xf numFmtId="0" fontId="8" fillId="0" borderId="0" xfId="0" applyFont="1" applyAlignment="1">
      <alignment horizontal="left"/>
    </xf>
    <xf numFmtId="0" fontId="2" fillId="3" borderId="1" xfId="0" applyFont="1" applyFill="1" applyBorder="1"/>
    <xf numFmtId="0" fontId="2" fillId="6" borderId="6" xfId="0" applyFont="1" applyFill="1" applyBorder="1" applyAlignment="1">
      <alignment horizontal="center" vertical="center"/>
    </xf>
    <xf numFmtId="0" fontId="2" fillId="6" borderId="7"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2" fillId="6" borderId="9" xfId="0" applyFont="1" applyFill="1" applyBorder="1" applyAlignment="1">
      <alignment horizontal="center" vertical="center" wrapText="1"/>
    </xf>
    <xf numFmtId="164" fontId="10" fillId="0" borderId="0" xfId="0" applyNumberFormat="1" applyFont="1"/>
    <xf numFmtId="3" fontId="0" fillId="0" borderId="0" xfId="0" applyNumberFormat="1"/>
    <xf numFmtId="0" fontId="2" fillId="7" borderId="6" xfId="0" applyFont="1" applyFill="1" applyBorder="1" applyAlignment="1">
      <alignment horizontal="right"/>
    </xf>
    <xf numFmtId="165" fontId="2" fillId="6" borderId="4" xfId="0" applyNumberFormat="1" applyFont="1" applyFill="1" applyBorder="1" applyAlignment="1">
      <alignment horizontal="right"/>
    </xf>
    <xf numFmtId="3" fontId="13" fillId="0" borderId="10" xfId="0" applyNumberFormat="1" applyFont="1" applyBorder="1" applyAlignment="1">
      <alignment horizontal="center" vertical="center"/>
    </xf>
    <xf numFmtId="3" fontId="13" fillId="0" borderId="0" xfId="0" applyNumberFormat="1" applyFont="1" applyAlignment="1">
      <alignment horizontal="center" vertical="center"/>
    </xf>
    <xf numFmtId="9" fontId="13" fillId="0" borderId="10" xfId="2" applyFont="1" applyBorder="1" applyAlignment="1" applyProtection="1">
      <alignment horizontal="center" vertical="center"/>
    </xf>
    <xf numFmtId="3" fontId="13" fillId="0" borderId="10" xfId="2" applyNumberFormat="1" applyFont="1" applyBorder="1" applyAlignment="1" applyProtection="1">
      <alignment horizontal="center" vertical="center"/>
    </xf>
    <xf numFmtId="9" fontId="13" fillId="0" borderId="11" xfId="2" applyFont="1" applyBorder="1" applyAlignment="1" applyProtection="1">
      <alignment horizontal="center" vertical="center"/>
    </xf>
    <xf numFmtId="0" fontId="2" fillId="6" borderId="12" xfId="0" applyFont="1" applyFill="1" applyBorder="1" applyAlignment="1">
      <alignment horizontal="right"/>
    </xf>
    <xf numFmtId="3" fontId="0" fillId="0" borderId="13" xfId="0" applyNumberFormat="1" applyBorder="1" applyAlignment="1">
      <alignment horizontal="center" vertical="center"/>
    </xf>
    <xf numFmtId="9" fontId="0" fillId="0" borderId="13" xfId="2" applyFont="1" applyFill="1" applyBorder="1" applyAlignment="1">
      <alignment horizontal="center" vertical="center"/>
    </xf>
    <xf numFmtId="3" fontId="0" fillId="0" borderId="13" xfId="2" applyNumberFormat="1" applyFont="1" applyFill="1" applyBorder="1" applyAlignment="1">
      <alignment horizontal="center" vertical="center"/>
    </xf>
    <xf numFmtId="9" fontId="0" fillId="0" borderId="11" xfId="2" applyFont="1" applyFill="1" applyBorder="1" applyAlignment="1">
      <alignment horizontal="center" vertical="center"/>
    </xf>
    <xf numFmtId="9" fontId="0" fillId="0" borderId="0" xfId="2" applyFont="1"/>
    <xf numFmtId="166" fontId="2" fillId="6" borderId="4" xfId="0" applyNumberFormat="1" applyFont="1" applyFill="1" applyBorder="1" applyAlignment="1">
      <alignment horizontal="right"/>
    </xf>
    <xf numFmtId="3" fontId="13" fillId="8" borderId="10" xfId="0" applyNumberFormat="1" applyFont="1" applyFill="1" applyBorder="1" applyAlignment="1">
      <alignment horizontal="center" vertical="center"/>
    </xf>
    <xf numFmtId="3" fontId="13" fillId="8" borderId="0" xfId="0" applyNumberFormat="1" applyFont="1" applyFill="1" applyAlignment="1">
      <alignment horizontal="center" vertical="center"/>
    </xf>
    <xf numFmtId="9" fontId="13" fillId="8" borderId="10" xfId="2" applyFont="1" applyFill="1" applyBorder="1" applyAlignment="1" applyProtection="1">
      <alignment horizontal="center" vertical="center"/>
    </xf>
    <xf numFmtId="3" fontId="13" fillId="8" borderId="10" xfId="2" applyNumberFormat="1" applyFont="1" applyFill="1" applyBorder="1" applyAlignment="1" applyProtection="1">
      <alignment horizontal="center" vertical="center"/>
    </xf>
    <xf numFmtId="9" fontId="13" fillId="8" borderId="11" xfId="2" applyFont="1" applyFill="1" applyBorder="1" applyAlignment="1" applyProtection="1">
      <alignment horizontal="center" vertical="center"/>
    </xf>
    <xf numFmtId="0" fontId="2" fillId="9" borderId="12" xfId="0" applyFont="1" applyFill="1" applyBorder="1" applyAlignment="1">
      <alignment horizontal="right"/>
    </xf>
    <xf numFmtId="3" fontId="0" fillId="10" borderId="0" xfId="0" applyNumberFormat="1" applyFill="1" applyAlignment="1">
      <alignment horizontal="center" vertical="center"/>
    </xf>
    <xf numFmtId="3" fontId="0" fillId="10" borderId="10" xfId="0" applyNumberFormat="1" applyFill="1" applyBorder="1" applyAlignment="1">
      <alignment horizontal="center" vertical="center"/>
    </xf>
    <xf numFmtId="9" fontId="0" fillId="10" borderId="0" xfId="2" applyFont="1" applyFill="1" applyBorder="1" applyAlignment="1">
      <alignment horizontal="center" vertical="center"/>
    </xf>
    <xf numFmtId="3" fontId="0" fillId="10" borderId="10" xfId="2" applyNumberFormat="1" applyFont="1" applyFill="1" applyBorder="1" applyAlignment="1">
      <alignment horizontal="center" vertical="center"/>
    </xf>
    <xf numFmtId="9" fontId="0" fillId="10" borderId="11" xfId="2" applyFont="1" applyFill="1" applyBorder="1" applyAlignment="1">
      <alignment horizontal="center" vertical="center"/>
    </xf>
    <xf numFmtId="3" fontId="0" fillId="0" borderId="0" xfId="0" applyNumberFormat="1" applyAlignment="1">
      <alignment horizontal="center" vertical="center"/>
    </xf>
    <xf numFmtId="3" fontId="0" fillId="0" borderId="10" xfId="0" applyNumberFormat="1" applyBorder="1" applyAlignment="1">
      <alignment horizontal="center" vertical="center"/>
    </xf>
    <xf numFmtId="9" fontId="0" fillId="0" borderId="0" xfId="2" applyFont="1" applyFill="1" applyBorder="1" applyAlignment="1">
      <alignment horizontal="center" vertical="center"/>
    </xf>
    <xf numFmtId="3" fontId="0" fillId="0" borderId="10" xfId="2" applyNumberFormat="1" applyFont="1" applyFill="1" applyBorder="1" applyAlignment="1">
      <alignment horizontal="center" vertical="center"/>
    </xf>
    <xf numFmtId="17" fontId="2" fillId="9" borderId="14" xfId="0" applyNumberFormat="1" applyFont="1" applyFill="1" applyBorder="1" applyAlignment="1">
      <alignment horizontal="right"/>
    </xf>
    <xf numFmtId="3" fontId="0" fillId="10" borderId="5" xfId="0" applyNumberFormat="1" applyFill="1" applyBorder="1" applyAlignment="1">
      <alignment horizontal="center" vertical="center"/>
    </xf>
    <xf numFmtId="3" fontId="0" fillId="10" borderId="15" xfId="0" applyNumberFormat="1" applyFill="1" applyBorder="1" applyAlignment="1">
      <alignment horizontal="center" vertical="center"/>
    </xf>
    <xf numFmtId="9" fontId="0" fillId="10" borderId="5" xfId="2" applyFont="1" applyFill="1" applyBorder="1" applyAlignment="1">
      <alignment horizontal="center" vertical="center"/>
    </xf>
    <xf numFmtId="3" fontId="0" fillId="10" borderId="15" xfId="2" applyNumberFormat="1" applyFont="1" applyFill="1" applyBorder="1" applyAlignment="1">
      <alignment horizontal="center" vertical="center"/>
    </xf>
    <xf numFmtId="9" fontId="0" fillId="10" borderId="16" xfId="2" applyFont="1" applyFill="1" applyBorder="1" applyAlignment="1">
      <alignment horizontal="center" vertical="center"/>
    </xf>
    <xf numFmtId="167" fontId="0" fillId="0" borderId="0" xfId="0" applyNumberFormat="1"/>
    <xf numFmtId="168" fontId="10" fillId="0" borderId="0" xfId="0" applyNumberFormat="1" applyFont="1"/>
    <xf numFmtId="166" fontId="2" fillId="6" borderId="14" xfId="0" applyNumberFormat="1" applyFont="1" applyFill="1" applyBorder="1" applyAlignment="1">
      <alignment horizontal="right"/>
    </xf>
    <xf numFmtId="3" fontId="13" fillId="8" borderId="15" xfId="0" applyNumberFormat="1" applyFont="1" applyFill="1" applyBorder="1" applyAlignment="1">
      <alignment horizontal="center" vertical="center"/>
    </xf>
    <xf numFmtId="3" fontId="13" fillId="8" borderId="5" xfId="0" applyNumberFormat="1" applyFont="1" applyFill="1" applyBorder="1" applyAlignment="1">
      <alignment horizontal="center" vertical="center"/>
    </xf>
    <xf numFmtId="9" fontId="13" fillId="8" borderId="15" xfId="2" applyFont="1" applyFill="1" applyBorder="1" applyAlignment="1" applyProtection="1">
      <alignment horizontal="center" vertical="center"/>
    </xf>
    <xf numFmtId="3" fontId="13" fillId="8" borderId="15" xfId="2" applyNumberFormat="1" applyFont="1" applyFill="1" applyBorder="1" applyAlignment="1" applyProtection="1">
      <alignment horizontal="center" vertical="center"/>
    </xf>
    <xf numFmtId="9" fontId="13" fillId="8" borderId="16" xfId="2" applyFont="1" applyFill="1" applyBorder="1" applyAlignment="1" applyProtection="1">
      <alignment horizontal="center" vertical="center"/>
    </xf>
    <xf numFmtId="166" fontId="2" fillId="0" borderId="0" xfId="0" applyNumberFormat="1" applyFont="1" applyAlignment="1">
      <alignment horizontal="right"/>
    </xf>
    <xf numFmtId="9" fontId="13" fillId="0" borderId="0" xfId="2" applyFont="1" applyFill="1" applyBorder="1" applyAlignment="1" applyProtection="1">
      <alignment horizontal="center" vertical="center"/>
    </xf>
    <xf numFmtId="1" fontId="13" fillId="0" borderId="0" xfId="2" applyNumberFormat="1" applyFont="1" applyFill="1" applyBorder="1" applyAlignment="1" applyProtection="1">
      <alignment horizontal="center" vertical="center"/>
    </xf>
    <xf numFmtId="0" fontId="10" fillId="0" borderId="0" xfId="0" applyFont="1"/>
    <xf numFmtId="1" fontId="13" fillId="0" borderId="0" xfId="0" applyNumberFormat="1" applyFont="1" applyAlignment="1">
      <alignment horizontal="center" vertical="center"/>
    </xf>
    <xf numFmtId="167" fontId="13" fillId="0" borderId="0" xfId="2" applyNumberFormat="1" applyFont="1" applyFill="1" applyBorder="1" applyAlignment="1" applyProtection="1">
      <alignment horizontal="center" vertical="center"/>
    </xf>
    <xf numFmtId="1" fontId="0" fillId="0" borderId="0" xfId="0" applyNumberFormat="1"/>
    <xf numFmtId="0" fontId="2" fillId="6" borderId="1" xfId="0" applyFont="1" applyFill="1" applyBorder="1"/>
    <xf numFmtId="0" fontId="0" fillId="8" borderId="3" xfId="0" applyFill="1" applyBorder="1"/>
    <xf numFmtId="0" fontId="14" fillId="0" borderId="0" xfId="0" applyFont="1"/>
    <xf numFmtId="0" fontId="2" fillId="6" borderId="17" xfId="0" applyFont="1" applyFill="1" applyBorder="1"/>
    <xf numFmtId="1" fontId="2" fillId="6" borderId="18" xfId="0" applyNumberFormat="1" applyFont="1" applyFill="1" applyBorder="1" applyAlignment="1">
      <alignment horizontal="center"/>
    </xf>
    <xf numFmtId="1" fontId="2" fillId="6" borderId="21" xfId="0" applyNumberFormat="1" applyFont="1" applyFill="1" applyBorder="1" applyAlignment="1">
      <alignment horizontal="left"/>
    </xf>
    <xf numFmtId="3" fontId="2" fillId="6" borderId="22" xfId="0" applyNumberFormat="1" applyFont="1" applyFill="1" applyBorder="1" applyAlignment="1">
      <alignment horizontal="center"/>
    </xf>
    <xf numFmtId="3" fontId="2" fillId="6" borderId="23" xfId="0" applyNumberFormat="1" applyFont="1" applyFill="1" applyBorder="1" applyAlignment="1">
      <alignment horizontal="center"/>
    </xf>
    <xf numFmtId="38" fontId="2" fillId="6" borderId="24" xfId="0" quotePrefix="1" applyNumberFormat="1" applyFont="1" applyFill="1" applyBorder="1" applyAlignment="1">
      <alignment horizontal="center"/>
    </xf>
    <xf numFmtId="1" fontId="2" fillId="6" borderId="4" xfId="0" applyNumberFormat="1" applyFont="1" applyFill="1" applyBorder="1"/>
    <xf numFmtId="3" fontId="13" fillId="0" borderId="10" xfId="0" applyNumberFormat="1" applyFont="1" applyBorder="1" applyAlignment="1">
      <alignment horizontal="center"/>
    </xf>
    <xf numFmtId="3" fontId="13" fillId="0" borderId="25" xfId="0" applyNumberFormat="1" applyFont="1" applyBorder="1" applyAlignment="1">
      <alignment horizontal="center"/>
    </xf>
    <xf numFmtId="9" fontId="13" fillId="0" borderId="11" xfId="2" applyFont="1" applyFill="1" applyBorder="1" applyAlignment="1">
      <alignment horizontal="center"/>
    </xf>
    <xf numFmtId="9" fontId="0" fillId="0" borderId="0" xfId="2" applyFont="1" applyAlignment="1">
      <alignment horizontal="left"/>
    </xf>
    <xf numFmtId="3" fontId="13" fillId="8" borderId="10" xfId="0" applyNumberFormat="1" applyFont="1" applyFill="1" applyBorder="1" applyAlignment="1">
      <alignment horizontal="center"/>
    </xf>
    <xf numFmtId="3" fontId="13" fillId="8" borderId="25" xfId="0" applyNumberFormat="1" applyFont="1" applyFill="1" applyBorder="1" applyAlignment="1">
      <alignment horizontal="center"/>
    </xf>
    <xf numFmtId="9" fontId="13" fillId="8" borderId="11" xfId="2" applyFont="1" applyFill="1" applyBorder="1" applyAlignment="1">
      <alignment horizontal="center"/>
    </xf>
    <xf numFmtId="1" fontId="2" fillId="6" borderId="4" xfId="0" applyNumberFormat="1" applyFont="1" applyFill="1" applyBorder="1" applyAlignment="1">
      <alignment horizontal="left"/>
    </xf>
    <xf numFmtId="3" fontId="13" fillId="0" borderId="25" xfId="0" applyNumberFormat="1" applyFont="1" applyBorder="1"/>
    <xf numFmtId="167" fontId="13" fillId="0" borderId="0" xfId="2" applyNumberFormat="1" applyFont="1" applyFill="1" applyBorder="1"/>
    <xf numFmtId="3" fontId="13" fillId="11" borderId="0" xfId="0" applyNumberFormat="1" applyFont="1" applyFill="1"/>
    <xf numFmtId="167" fontId="13" fillId="11" borderId="0" xfId="2" applyNumberFormat="1" applyFont="1" applyFill="1" applyBorder="1"/>
    <xf numFmtId="1" fontId="2" fillId="6" borderId="26" xfId="0" applyNumberFormat="1" applyFont="1" applyFill="1" applyBorder="1"/>
    <xf numFmtId="3" fontId="0" fillId="8" borderId="13" xfId="0" applyNumberFormat="1" applyFill="1" applyBorder="1" applyAlignment="1">
      <alignment horizontal="center"/>
    </xf>
    <xf numFmtId="3" fontId="4" fillId="8" borderId="13" xfId="0" applyNumberFormat="1" applyFont="1" applyFill="1" applyBorder="1" applyAlignment="1">
      <alignment horizontal="center"/>
    </xf>
    <xf numFmtId="9" fontId="4" fillId="8" borderId="27" xfId="2" applyFont="1" applyFill="1" applyBorder="1" applyAlignment="1">
      <alignment horizontal="center"/>
    </xf>
    <xf numFmtId="1" fontId="2" fillId="6" borderId="0" xfId="0" applyNumberFormat="1" applyFont="1" applyFill="1"/>
    <xf numFmtId="9" fontId="0" fillId="8" borderId="10" xfId="2" applyFont="1" applyFill="1" applyBorder="1" applyAlignment="1" applyProtection="1">
      <alignment horizontal="center"/>
    </xf>
    <xf numFmtId="3" fontId="4" fillId="8" borderId="10" xfId="0" applyNumberFormat="1" applyFont="1" applyFill="1" applyBorder="1" applyAlignment="1">
      <alignment horizontal="center"/>
    </xf>
    <xf numFmtId="9" fontId="4" fillId="8" borderId="11" xfId="2" applyFont="1" applyFill="1" applyBorder="1" applyAlignment="1">
      <alignment horizontal="center"/>
    </xf>
    <xf numFmtId="3" fontId="0" fillId="8" borderId="10" xfId="0" applyNumberFormat="1" applyFill="1" applyBorder="1" applyAlignment="1">
      <alignment horizontal="center"/>
    </xf>
    <xf numFmtId="1" fontId="2" fillId="6" borderId="5" xfId="0" applyNumberFormat="1" applyFont="1" applyFill="1" applyBorder="1"/>
    <xf numFmtId="9" fontId="0" fillId="8" borderId="15" xfId="2" applyFont="1" applyFill="1" applyBorder="1" applyAlignment="1">
      <alignment horizontal="center" vertical="top" wrapText="1"/>
    </xf>
    <xf numFmtId="9" fontId="4" fillId="8" borderId="15" xfId="2" applyFont="1" applyFill="1" applyBorder="1" applyAlignment="1">
      <alignment horizontal="center" vertical="top" wrapText="1"/>
    </xf>
    <xf numFmtId="9" fontId="4" fillId="8" borderId="16" xfId="2" applyFont="1" applyFill="1" applyBorder="1" applyAlignment="1">
      <alignment horizontal="center"/>
    </xf>
    <xf numFmtId="0" fontId="16" fillId="0" borderId="0" xfId="0" applyFont="1" applyAlignment="1">
      <alignment vertical="center"/>
    </xf>
    <xf numFmtId="0" fontId="17" fillId="0" borderId="0" xfId="0" applyFont="1"/>
    <xf numFmtId="0" fontId="18" fillId="0" borderId="0" xfId="0" applyFont="1" applyAlignment="1">
      <alignment vertical="center"/>
    </xf>
    <xf numFmtId="169" fontId="0" fillId="0" borderId="0" xfId="0" applyNumberFormat="1"/>
    <xf numFmtId="0" fontId="11" fillId="0" borderId="0" xfId="0" applyFont="1"/>
    <xf numFmtId="0" fontId="5" fillId="0" borderId="0" xfId="0" applyFont="1" applyAlignment="1">
      <alignment horizontal="left"/>
    </xf>
    <xf numFmtId="0" fontId="13" fillId="0" borderId="0" xfId="0" applyFont="1"/>
    <xf numFmtId="0" fontId="15" fillId="0" borderId="0" xfId="0" applyFont="1"/>
    <xf numFmtId="1" fontId="2" fillId="6" borderId="28" xfId="0" applyNumberFormat="1" applyFont="1" applyFill="1" applyBorder="1" applyAlignment="1">
      <alignment horizontal="center"/>
    </xf>
    <xf numFmtId="170" fontId="2" fillId="6" borderId="28" xfId="0" applyNumberFormat="1" applyFont="1" applyFill="1" applyBorder="1" applyAlignment="1">
      <alignment horizontal="center"/>
    </xf>
    <xf numFmtId="170" fontId="2" fillId="6" borderId="23" xfId="0" applyNumberFormat="1" applyFont="1" applyFill="1" applyBorder="1" applyAlignment="1">
      <alignment horizontal="center"/>
    </xf>
    <xf numFmtId="170" fontId="2" fillId="6" borderId="30" xfId="0" applyNumberFormat="1" applyFont="1" applyFill="1" applyBorder="1" applyAlignment="1">
      <alignment horizontal="center"/>
    </xf>
    <xf numFmtId="3" fontId="0" fillId="0" borderId="0" xfId="0" applyNumberFormat="1" applyAlignment="1">
      <alignment horizontal="center"/>
    </xf>
    <xf numFmtId="9" fontId="13" fillId="0" borderId="11" xfId="0" applyNumberFormat="1" applyFont="1" applyBorder="1" applyAlignment="1">
      <alignment horizontal="center" vertical="center"/>
    </xf>
    <xf numFmtId="3" fontId="0" fillId="0" borderId="32" xfId="0" applyNumberFormat="1" applyBorder="1" applyAlignment="1">
      <alignment horizontal="center"/>
    </xf>
    <xf numFmtId="3" fontId="0" fillId="0" borderId="33" xfId="0" applyNumberFormat="1" applyBorder="1" applyAlignment="1">
      <alignment horizontal="center"/>
    </xf>
    <xf numFmtId="9" fontId="0" fillId="0" borderId="25" xfId="2" applyFont="1" applyFill="1" applyBorder="1" applyAlignment="1" applyProtection="1">
      <alignment horizontal="center"/>
    </xf>
    <xf numFmtId="9" fontId="0" fillId="0" borderId="0" xfId="2" applyFont="1" applyFill="1" applyBorder="1" applyAlignment="1" applyProtection="1">
      <alignment horizontal="center"/>
    </xf>
    <xf numFmtId="9" fontId="1" fillId="0" borderId="0" xfId="2" applyFont="1" applyFill="1" applyBorder="1" applyAlignment="1" applyProtection="1">
      <alignment horizontal="center"/>
    </xf>
    <xf numFmtId="3" fontId="0" fillId="0" borderId="25" xfId="0" applyNumberFormat="1" applyBorder="1" applyAlignment="1">
      <alignment horizontal="center"/>
    </xf>
    <xf numFmtId="9" fontId="1" fillId="0" borderId="34" xfId="2" applyFont="1" applyFill="1" applyBorder="1" applyAlignment="1" applyProtection="1">
      <alignment horizontal="center"/>
    </xf>
    <xf numFmtId="9" fontId="1" fillId="0" borderId="5" xfId="2" applyFont="1" applyFill="1" applyBorder="1" applyAlignment="1" applyProtection="1">
      <alignment horizontal="center"/>
    </xf>
    <xf numFmtId="1" fontId="2" fillId="0" borderId="0" xfId="0" applyNumberFormat="1" applyFont="1"/>
    <xf numFmtId="171" fontId="15" fillId="0" borderId="0" xfId="0" applyNumberFormat="1" applyFont="1"/>
    <xf numFmtId="170" fontId="2" fillId="0" borderId="0" xfId="0" applyNumberFormat="1" applyFont="1" applyAlignment="1">
      <alignment horizontal="center"/>
    </xf>
    <xf numFmtId="171" fontId="0" fillId="0" borderId="0" xfId="0" applyNumberFormat="1"/>
    <xf numFmtId="1" fontId="2" fillId="0" borderId="0" xfId="0" applyNumberFormat="1" applyFont="1" applyAlignment="1">
      <alignment horizontal="center"/>
    </xf>
    <xf numFmtId="1" fontId="2" fillId="0" borderId="0" xfId="0" applyNumberFormat="1" applyFont="1" applyAlignment="1">
      <alignment horizontal="center" vertical="center"/>
    </xf>
    <xf numFmtId="4" fontId="13" fillId="0" borderId="0" xfId="0" applyNumberFormat="1" applyFont="1" applyAlignment="1">
      <alignment horizontal="center"/>
    </xf>
    <xf numFmtId="1" fontId="2" fillId="0" borderId="0" xfId="0" applyNumberFormat="1" applyFont="1" applyAlignment="1">
      <alignment horizontal="left"/>
    </xf>
    <xf numFmtId="9" fontId="0" fillId="0" borderId="34" xfId="2" applyFont="1" applyFill="1" applyBorder="1" applyAlignment="1">
      <alignment horizontal="center"/>
    </xf>
    <xf numFmtId="9" fontId="0" fillId="0" borderId="5" xfId="2" applyFont="1" applyFill="1" applyBorder="1" applyAlignment="1">
      <alignment horizontal="center"/>
    </xf>
    <xf numFmtId="170" fontId="10" fillId="0" borderId="0" xfId="0" applyNumberFormat="1" applyFont="1"/>
    <xf numFmtId="1" fontId="10" fillId="0" borderId="0" xfId="0" applyNumberFormat="1" applyFont="1" applyAlignment="1">
      <alignment horizontal="left"/>
    </xf>
    <xf numFmtId="170" fontId="0" fillId="0" borderId="0" xfId="0" applyNumberFormat="1"/>
    <xf numFmtId="4" fontId="15" fillId="0" borderId="0" xfId="0" applyNumberFormat="1" applyFont="1" applyAlignment="1">
      <alignment horizontal="center"/>
    </xf>
    <xf numFmtId="170" fontId="0" fillId="0" borderId="0" xfId="0" applyNumberFormat="1" applyAlignment="1">
      <alignment horizontal="right"/>
    </xf>
    <xf numFmtId="172" fontId="0" fillId="0" borderId="0" xfId="0" applyNumberFormat="1"/>
    <xf numFmtId="170" fontId="19" fillId="0" borderId="0" xfId="0" applyNumberFormat="1" applyFont="1"/>
    <xf numFmtId="0" fontId="19" fillId="0" borderId="0" xfId="0" applyFont="1"/>
    <xf numFmtId="173" fontId="19" fillId="0" borderId="0" xfId="0" applyNumberFormat="1" applyFont="1" applyAlignment="1">
      <alignment horizontal="center"/>
    </xf>
    <xf numFmtId="172" fontId="19" fillId="0" borderId="0" xfId="0" applyNumberFormat="1" applyFont="1"/>
    <xf numFmtId="14" fontId="5" fillId="0" borderId="0" xfId="0" applyNumberFormat="1" applyFont="1"/>
    <xf numFmtId="0" fontId="2" fillId="6" borderId="6" xfId="0" applyFont="1" applyFill="1" applyBorder="1" applyAlignment="1">
      <alignment horizontal="right"/>
    </xf>
    <xf numFmtId="0" fontId="2" fillId="0" borderId="36" xfId="0" applyFont="1" applyBorder="1" applyAlignment="1">
      <alignment horizontal="center" vertical="center" wrapText="1"/>
    </xf>
    <xf numFmtId="0" fontId="2" fillId="6" borderId="38" xfId="0" applyFont="1" applyFill="1" applyBorder="1" applyAlignment="1">
      <alignment horizontal="center" vertical="center" wrapText="1"/>
    </xf>
    <xf numFmtId="9" fontId="0" fillId="0" borderId="10" xfId="2" applyFont="1" applyFill="1" applyBorder="1" applyAlignment="1">
      <alignment horizontal="center" vertical="center"/>
    </xf>
    <xf numFmtId="3" fontId="0" fillId="12" borderId="0" xfId="0" applyNumberFormat="1" applyFill="1" applyAlignment="1">
      <alignment horizontal="center" vertical="center"/>
    </xf>
    <xf numFmtId="3" fontId="0" fillId="12" borderId="10" xfId="0" applyNumberFormat="1" applyFill="1" applyBorder="1" applyAlignment="1">
      <alignment horizontal="center" vertical="center"/>
    </xf>
    <xf numFmtId="9" fontId="0" fillId="12" borderId="0" xfId="2" applyFont="1" applyFill="1" applyBorder="1" applyAlignment="1">
      <alignment horizontal="center" vertical="center"/>
    </xf>
    <xf numFmtId="3" fontId="0" fillId="12" borderId="10" xfId="2" applyNumberFormat="1" applyFont="1" applyFill="1" applyBorder="1" applyAlignment="1">
      <alignment horizontal="center" vertical="center"/>
    </xf>
    <xf numFmtId="9" fontId="0" fillId="12" borderId="11" xfId="2" applyFont="1" applyFill="1" applyBorder="1" applyAlignment="1">
      <alignment horizontal="center" vertical="center"/>
    </xf>
    <xf numFmtId="9" fontId="0" fillId="10" borderId="10" xfId="2" applyFont="1" applyFill="1" applyBorder="1" applyAlignment="1">
      <alignment horizontal="center" vertical="center"/>
    </xf>
    <xf numFmtId="0" fontId="2" fillId="9" borderId="14" xfId="0" applyFont="1" applyFill="1" applyBorder="1" applyAlignment="1">
      <alignment horizontal="right"/>
    </xf>
    <xf numFmtId="9" fontId="0" fillId="10" borderId="15" xfId="2" applyFont="1" applyFill="1" applyBorder="1" applyAlignment="1">
      <alignment horizontal="center" vertical="center"/>
    </xf>
    <xf numFmtId="167" fontId="0" fillId="0" borderId="0" xfId="2" applyNumberFormat="1" applyFont="1"/>
    <xf numFmtId="0" fontId="20" fillId="0" borderId="0" xfId="4" applyFill="1" applyAlignment="1">
      <alignment vertical="center" wrapText="1"/>
    </xf>
    <xf numFmtId="9" fontId="0" fillId="0" borderId="10" xfId="2" applyFont="1" applyBorder="1" applyAlignment="1" applyProtection="1">
      <alignment horizontal="center" vertical="center"/>
    </xf>
    <xf numFmtId="3" fontId="0" fillId="8" borderId="10" xfId="0" applyNumberFormat="1" applyFill="1" applyBorder="1" applyAlignment="1">
      <alignment horizontal="center" vertical="center"/>
    </xf>
    <xf numFmtId="3" fontId="0" fillId="8" borderId="0" xfId="0" applyNumberFormat="1" applyFill="1" applyAlignment="1">
      <alignment horizontal="center" vertical="center"/>
    </xf>
    <xf numFmtId="9" fontId="1" fillId="8" borderId="10" xfId="2" applyFont="1" applyFill="1" applyBorder="1" applyAlignment="1" applyProtection="1">
      <alignment horizontal="center" vertical="center"/>
    </xf>
    <xf numFmtId="3" fontId="1" fillId="8" borderId="10" xfId="2" applyNumberFormat="1" applyFont="1" applyFill="1" applyBorder="1" applyAlignment="1" applyProtection="1">
      <alignment horizontal="center" vertical="center"/>
    </xf>
    <xf numFmtId="9" fontId="1" fillId="8" borderId="11" xfId="2" applyFont="1" applyFill="1" applyBorder="1" applyAlignment="1" applyProtection="1">
      <alignment horizontal="center" vertical="center"/>
    </xf>
    <xf numFmtId="3" fontId="0" fillId="0" borderId="15" xfId="0" applyNumberFormat="1" applyBorder="1" applyAlignment="1">
      <alignment horizontal="center" vertical="center"/>
    </xf>
    <xf numFmtId="3" fontId="0" fillId="0" borderId="5" xfId="0" applyNumberFormat="1" applyBorder="1" applyAlignment="1">
      <alignment horizontal="center" vertical="center"/>
    </xf>
    <xf numFmtId="9" fontId="1" fillId="0" borderId="15" xfId="2" applyFont="1" applyBorder="1" applyAlignment="1" applyProtection="1">
      <alignment horizontal="center" vertical="center"/>
    </xf>
    <xf numFmtId="3" fontId="1" fillId="0" borderId="15" xfId="2" applyNumberFormat="1" applyFont="1" applyBorder="1" applyAlignment="1" applyProtection="1">
      <alignment horizontal="center" vertical="center"/>
    </xf>
    <xf numFmtId="9" fontId="1" fillId="0" borderId="16" xfId="2" applyFont="1" applyBorder="1" applyAlignment="1" applyProtection="1">
      <alignment horizontal="center" vertical="center"/>
    </xf>
    <xf numFmtId="0" fontId="2" fillId="14" borderId="1" xfId="5" applyFont="1" applyFill="1" applyBorder="1" applyAlignment="1">
      <alignment horizontal="left"/>
    </xf>
    <xf numFmtId="0" fontId="13" fillId="15" borderId="3" xfId="5" applyFont="1" applyFill="1" applyBorder="1" applyAlignment="1">
      <alignment horizontal="right"/>
    </xf>
    <xf numFmtId="164" fontId="21" fillId="0" borderId="0" xfId="0" applyNumberFormat="1" applyFont="1"/>
    <xf numFmtId="0" fontId="4" fillId="0" borderId="0" xfId="0" applyFont="1" applyAlignment="1">
      <alignment horizontal="center"/>
    </xf>
    <xf numFmtId="0" fontId="2" fillId="14" borderId="39" xfId="0" applyFont="1" applyFill="1" applyBorder="1" applyAlignment="1">
      <alignment horizontal="right"/>
    </xf>
    <xf numFmtId="0" fontId="2" fillId="14" borderId="8" xfId="0" applyFont="1" applyFill="1" applyBorder="1" applyAlignment="1">
      <alignment horizontal="center" vertical="center" wrapText="1"/>
    </xf>
    <xf numFmtId="0" fontId="2" fillId="14" borderId="38" xfId="0" applyFont="1" applyFill="1" applyBorder="1" applyAlignment="1">
      <alignment horizontal="center" vertical="center" wrapText="1"/>
    </xf>
    <xf numFmtId="0" fontId="2" fillId="14" borderId="40" xfId="0" applyFont="1" applyFill="1" applyBorder="1" applyAlignment="1">
      <alignment horizontal="center" vertical="center" wrapText="1"/>
    </xf>
    <xf numFmtId="0" fontId="2" fillId="16" borderId="6" xfId="0" applyFont="1" applyFill="1" applyBorder="1" applyAlignment="1">
      <alignment horizontal="right"/>
    </xf>
    <xf numFmtId="0" fontId="2" fillId="0" borderId="0" xfId="0" applyFont="1" applyAlignment="1">
      <alignment horizontal="center" vertical="center" wrapText="1"/>
    </xf>
    <xf numFmtId="166" fontId="2" fillId="14" borderId="4" xfId="0" applyNumberFormat="1" applyFont="1" applyFill="1" applyBorder="1" applyAlignment="1">
      <alignment horizontal="right"/>
    </xf>
    <xf numFmtId="9" fontId="13" fillId="0" borderId="36" xfId="2" applyFont="1" applyBorder="1" applyAlignment="1" applyProtection="1">
      <alignment horizontal="center" vertical="center"/>
    </xf>
    <xf numFmtId="0" fontId="2" fillId="17" borderId="4" xfId="0" applyFont="1" applyFill="1" applyBorder="1" applyAlignment="1">
      <alignment horizontal="right"/>
    </xf>
    <xf numFmtId="3" fontId="0" fillId="0" borderId="10" xfId="0" applyNumberFormat="1" applyBorder="1" applyAlignment="1">
      <alignment horizontal="center"/>
    </xf>
    <xf numFmtId="9" fontId="0" fillId="0" borderId="36" xfId="2" applyFont="1" applyFill="1" applyBorder="1" applyAlignment="1">
      <alignment horizontal="center"/>
    </xf>
    <xf numFmtId="0" fontId="2" fillId="17" borderId="12" xfId="0" applyFont="1" applyFill="1" applyBorder="1" applyAlignment="1">
      <alignment horizontal="right"/>
    </xf>
    <xf numFmtId="9" fontId="13" fillId="0" borderId="36" xfId="2" applyFont="1" applyFill="1" applyBorder="1" applyAlignment="1">
      <alignment horizontal="center"/>
    </xf>
    <xf numFmtId="3" fontId="13" fillId="15" borderId="10" xfId="0" applyNumberFormat="1" applyFont="1" applyFill="1" applyBorder="1" applyAlignment="1">
      <alignment horizontal="center" vertical="center"/>
    </xf>
    <xf numFmtId="3" fontId="13" fillId="15" borderId="0" xfId="0" applyNumberFormat="1" applyFont="1" applyFill="1" applyAlignment="1">
      <alignment horizontal="center" vertical="center"/>
    </xf>
    <xf numFmtId="9" fontId="13" fillId="15" borderId="36" xfId="2" applyFont="1" applyFill="1" applyBorder="1" applyAlignment="1" applyProtection="1">
      <alignment horizontal="center" vertical="center"/>
    </xf>
    <xf numFmtId="0" fontId="2" fillId="18" borderId="4" xfId="0" applyFont="1" applyFill="1" applyBorder="1" applyAlignment="1">
      <alignment horizontal="right"/>
    </xf>
    <xf numFmtId="3" fontId="0" fillId="19" borderId="10" xfId="0" applyNumberFormat="1" applyFill="1" applyBorder="1" applyAlignment="1">
      <alignment horizontal="center"/>
    </xf>
    <xf numFmtId="3" fontId="0" fillId="19" borderId="0" xfId="0" applyNumberFormat="1" applyFill="1" applyAlignment="1">
      <alignment horizontal="center"/>
    </xf>
    <xf numFmtId="9" fontId="0" fillId="19" borderId="36" xfId="2" applyFont="1" applyFill="1" applyBorder="1" applyAlignment="1">
      <alignment horizontal="center"/>
    </xf>
    <xf numFmtId="3" fontId="13" fillId="15" borderId="10" xfId="0" applyNumberFormat="1" applyFont="1" applyFill="1" applyBorder="1" applyAlignment="1">
      <alignment horizontal="center"/>
    </xf>
    <xf numFmtId="9" fontId="13" fillId="19" borderId="36" xfId="2" applyFont="1" applyFill="1" applyBorder="1" applyAlignment="1">
      <alignment horizontal="center"/>
    </xf>
    <xf numFmtId="0" fontId="2" fillId="18" borderId="41" xfId="0" applyFont="1" applyFill="1" applyBorder="1" applyAlignment="1">
      <alignment horizontal="right"/>
    </xf>
    <xf numFmtId="3" fontId="13" fillId="15" borderId="15" xfId="0" applyNumberFormat="1" applyFont="1" applyFill="1" applyBorder="1" applyAlignment="1">
      <alignment horizontal="center"/>
    </xf>
    <xf numFmtId="3" fontId="13" fillId="15" borderId="5" xfId="0" applyNumberFormat="1" applyFont="1" applyFill="1" applyBorder="1" applyAlignment="1">
      <alignment horizontal="center"/>
    </xf>
    <xf numFmtId="9" fontId="13" fillId="15" borderId="37" xfId="2" applyFont="1" applyFill="1" applyBorder="1" applyAlignment="1">
      <alignment horizontal="center"/>
    </xf>
    <xf numFmtId="0" fontId="2" fillId="17" borderId="14" xfId="0" applyFont="1" applyFill="1" applyBorder="1" applyAlignment="1">
      <alignment horizontal="right"/>
    </xf>
    <xf numFmtId="9" fontId="13" fillId="19" borderId="37" xfId="2" applyFont="1" applyFill="1" applyBorder="1" applyAlignment="1">
      <alignment horizontal="center"/>
    </xf>
    <xf numFmtId="166" fontId="2" fillId="14" borderId="41" xfId="0" applyNumberFormat="1" applyFont="1" applyFill="1" applyBorder="1" applyAlignment="1">
      <alignment horizontal="right"/>
    </xf>
    <xf numFmtId="3" fontId="13" fillId="15" borderId="15" xfId="0" applyNumberFormat="1" applyFont="1" applyFill="1" applyBorder="1" applyAlignment="1">
      <alignment horizontal="center" vertical="center"/>
    </xf>
    <xf numFmtId="3" fontId="13" fillId="15" borderId="5" xfId="0" applyNumberFormat="1" applyFont="1" applyFill="1" applyBorder="1" applyAlignment="1">
      <alignment horizontal="center" vertical="center"/>
    </xf>
    <xf numFmtId="9" fontId="13" fillId="15" borderId="37" xfId="2" applyFont="1" applyFill="1" applyBorder="1" applyAlignment="1" applyProtection="1">
      <alignment horizontal="center" vertical="center"/>
    </xf>
    <xf numFmtId="166" fontId="22" fillId="0" borderId="0" xfId="6" applyNumberFormat="1" applyFont="1" applyAlignment="1">
      <alignment horizontal="left"/>
    </xf>
    <xf numFmtId="166" fontId="23" fillId="0" borderId="0" xfId="6" applyNumberFormat="1" applyFont="1" applyAlignment="1">
      <alignment horizontal="left"/>
    </xf>
    <xf numFmtId="166" fontId="24" fillId="0" borderId="0" xfId="6" applyNumberFormat="1" applyFont="1" applyAlignment="1">
      <alignment horizontal="left"/>
    </xf>
    <xf numFmtId="166" fontId="25" fillId="0" borderId="0" xfId="6" applyNumberFormat="1" applyFont="1" applyAlignment="1">
      <alignment horizontal="left"/>
    </xf>
    <xf numFmtId="174" fontId="0" fillId="0" borderId="0" xfId="0" applyNumberFormat="1"/>
    <xf numFmtId="0" fontId="2" fillId="14" borderId="6" xfId="0" applyFont="1" applyFill="1" applyBorder="1" applyAlignment="1">
      <alignment horizontal="right"/>
    </xf>
    <xf numFmtId="0" fontId="2" fillId="14" borderId="7" xfId="0" applyFont="1" applyFill="1" applyBorder="1" applyAlignment="1">
      <alignment horizontal="center" vertical="center" wrapText="1"/>
    </xf>
    <xf numFmtId="0" fontId="2" fillId="14" borderId="42" xfId="0" applyFont="1" applyFill="1" applyBorder="1" applyAlignment="1">
      <alignment horizontal="center" vertical="center" wrapText="1"/>
    </xf>
    <xf numFmtId="3" fontId="0" fillId="0" borderId="43" xfId="0" applyNumberFormat="1" applyBorder="1"/>
    <xf numFmtId="0" fontId="2" fillId="20" borderId="6" xfId="0" applyFont="1" applyFill="1" applyBorder="1" applyAlignment="1">
      <alignment horizontal="right"/>
    </xf>
    <xf numFmtId="9" fontId="13" fillId="0" borderId="10" xfId="2" applyFont="1" applyFill="1" applyBorder="1" applyAlignment="1" applyProtection="1">
      <alignment horizontal="center" vertical="center"/>
    </xf>
    <xf numFmtId="9" fontId="13" fillId="0" borderId="11" xfId="2" applyFont="1" applyFill="1" applyBorder="1" applyAlignment="1" applyProtection="1">
      <alignment horizontal="center" vertical="center"/>
    </xf>
    <xf numFmtId="0" fontId="0" fillId="0" borderId="0" xfId="2" applyNumberFormat="1" applyFont="1"/>
    <xf numFmtId="9" fontId="0" fillId="0" borderId="0" xfId="0" applyNumberFormat="1" applyAlignment="1">
      <alignment horizontal="center" vertical="center"/>
    </xf>
    <xf numFmtId="9" fontId="0" fillId="0" borderId="11" xfId="0" applyNumberFormat="1" applyBorder="1" applyAlignment="1">
      <alignment horizontal="center" vertical="center"/>
    </xf>
    <xf numFmtId="167" fontId="0" fillId="0" borderId="0" xfId="0" applyNumberFormat="1" applyAlignment="1">
      <alignment horizontal="center" vertical="center"/>
    </xf>
    <xf numFmtId="9" fontId="13" fillId="15" borderId="10" xfId="2" applyFont="1" applyFill="1" applyBorder="1" applyAlignment="1" applyProtection="1">
      <alignment horizontal="center" vertical="center"/>
    </xf>
    <xf numFmtId="9" fontId="13" fillId="15" borderId="0" xfId="2" applyFont="1" applyFill="1" applyBorder="1" applyAlignment="1" applyProtection="1">
      <alignment horizontal="center" vertical="center"/>
    </xf>
    <xf numFmtId="9" fontId="13" fillId="15" borderId="11" xfId="2" applyFont="1" applyFill="1" applyBorder="1" applyAlignment="1" applyProtection="1">
      <alignment horizontal="center" vertical="center"/>
    </xf>
    <xf numFmtId="3" fontId="0" fillId="15" borderId="10" xfId="0" applyNumberFormat="1" applyFill="1" applyBorder="1" applyAlignment="1">
      <alignment horizontal="center" vertical="center"/>
    </xf>
    <xf numFmtId="3" fontId="0" fillId="15" borderId="0" xfId="0" applyNumberFormat="1" applyFill="1" applyAlignment="1">
      <alignment horizontal="center" vertical="center"/>
    </xf>
    <xf numFmtId="3" fontId="0" fillId="15" borderId="10" xfId="2" applyNumberFormat="1" applyFont="1" applyFill="1" applyBorder="1" applyAlignment="1">
      <alignment horizontal="center" vertical="center"/>
    </xf>
    <xf numFmtId="9" fontId="0" fillId="15" borderId="10" xfId="2" applyFont="1" applyFill="1" applyBorder="1" applyAlignment="1">
      <alignment horizontal="center" vertical="center"/>
    </xf>
    <xf numFmtId="9" fontId="0" fillId="15" borderId="0" xfId="0" applyNumberFormat="1" applyFill="1" applyAlignment="1">
      <alignment horizontal="center" vertical="center"/>
    </xf>
    <xf numFmtId="9" fontId="0" fillId="15" borderId="11" xfId="0" applyNumberFormat="1" applyFill="1" applyBorder="1" applyAlignment="1">
      <alignment horizontal="center" vertical="center"/>
    </xf>
    <xf numFmtId="3" fontId="13" fillId="0" borderId="10" xfId="2" applyNumberFormat="1" applyFont="1" applyFill="1" applyBorder="1" applyAlignment="1">
      <alignment horizontal="center" vertical="center"/>
    </xf>
    <xf numFmtId="9" fontId="13" fillId="0" borderId="10" xfId="2" applyFont="1" applyFill="1" applyBorder="1" applyAlignment="1">
      <alignment horizontal="center" vertical="center"/>
    </xf>
    <xf numFmtId="9" fontId="13" fillId="0" borderId="0" xfId="0" applyNumberFormat="1" applyFont="1" applyAlignment="1">
      <alignment horizontal="center" vertical="center"/>
    </xf>
    <xf numFmtId="3" fontId="0" fillId="15" borderId="15" xfId="0" applyNumberFormat="1" applyFill="1" applyBorder="1" applyAlignment="1">
      <alignment horizontal="center" vertical="center"/>
    </xf>
    <xf numFmtId="3" fontId="0" fillId="15" borderId="5" xfId="0" applyNumberFormat="1" applyFill="1" applyBorder="1" applyAlignment="1">
      <alignment horizontal="center" vertical="center"/>
    </xf>
    <xf numFmtId="3" fontId="13" fillId="15" borderId="15" xfId="2" applyNumberFormat="1" applyFont="1" applyFill="1" applyBorder="1" applyAlignment="1">
      <alignment horizontal="center" vertical="center"/>
    </xf>
    <xf numFmtId="3" fontId="0" fillId="15" borderId="15" xfId="2" applyNumberFormat="1" applyFont="1" applyFill="1" applyBorder="1" applyAlignment="1">
      <alignment horizontal="center" vertical="center"/>
    </xf>
    <xf numFmtId="9" fontId="0" fillId="15" borderId="15" xfId="2" applyFont="1" applyFill="1" applyBorder="1" applyAlignment="1">
      <alignment horizontal="center" vertical="center"/>
    </xf>
    <xf numFmtId="9" fontId="0" fillId="15" borderId="5" xfId="0" applyNumberFormat="1" applyFill="1" applyBorder="1" applyAlignment="1">
      <alignment horizontal="center" vertical="center"/>
    </xf>
    <xf numFmtId="9" fontId="0" fillId="15" borderId="16" xfId="0" applyNumberFormat="1" applyFill="1" applyBorder="1" applyAlignment="1">
      <alignment horizontal="center" vertical="center"/>
    </xf>
    <xf numFmtId="166" fontId="2" fillId="14" borderId="12" xfId="0" applyNumberFormat="1" applyFont="1" applyFill="1" applyBorder="1" applyAlignment="1">
      <alignment horizontal="right"/>
    </xf>
    <xf numFmtId="9" fontId="0" fillId="0" borderId="10" xfId="2" applyFont="1" applyFill="1" applyBorder="1" applyAlignment="1" applyProtection="1">
      <alignment horizontal="center" vertical="center"/>
    </xf>
    <xf numFmtId="9" fontId="0" fillId="0" borderId="0" xfId="2" applyFont="1" applyFill="1" applyBorder="1" applyAlignment="1" applyProtection="1">
      <alignment horizontal="center" vertical="center"/>
    </xf>
    <xf numFmtId="9" fontId="0" fillId="0" borderId="11" xfId="2" applyFont="1" applyFill="1" applyBorder="1" applyAlignment="1" applyProtection="1">
      <alignment horizontal="center" vertical="center"/>
    </xf>
    <xf numFmtId="3" fontId="0" fillId="15" borderId="25" xfId="0" applyNumberFormat="1" applyFill="1" applyBorder="1" applyAlignment="1">
      <alignment horizontal="center" vertical="center"/>
    </xf>
    <xf numFmtId="9" fontId="0" fillId="15" borderId="10" xfId="2" applyFont="1" applyFill="1" applyBorder="1" applyAlignment="1" applyProtection="1">
      <alignment horizontal="center" vertical="center"/>
    </xf>
    <xf numFmtId="9" fontId="0" fillId="15" borderId="0" xfId="2" applyFont="1" applyFill="1" applyBorder="1" applyAlignment="1" applyProtection="1">
      <alignment horizontal="center" vertical="center"/>
    </xf>
    <xf numFmtId="9" fontId="0" fillId="15" borderId="11" xfId="2" applyFont="1" applyFill="1" applyBorder="1" applyAlignment="1" applyProtection="1">
      <alignment horizontal="center" vertical="center"/>
    </xf>
    <xf numFmtId="1" fontId="0" fillId="0" borderId="0" xfId="0" applyNumberFormat="1" applyAlignment="1">
      <alignment horizontal="center"/>
    </xf>
    <xf numFmtId="166" fontId="2" fillId="14" borderId="14" xfId="0" applyNumberFormat="1" applyFont="1" applyFill="1" applyBorder="1" applyAlignment="1">
      <alignment horizontal="right"/>
    </xf>
    <xf numFmtId="3" fontId="0" fillId="15" borderId="34" xfId="0" applyNumberFormat="1" applyFill="1" applyBorder="1" applyAlignment="1">
      <alignment horizontal="center" vertical="center"/>
    </xf>
    <xf numFmtId="9" fontId="0" fillId="15" borderId="15" xfId="2" applyFont="1" applyFill="1" applyBorder="1" applyAlignment="1" applyProtection="1">
      <alignment horizontal="center" vertical="center"/>
    </xf>
    <xf numFmtId="9" fontId="0" fillId="15" borderId="5" xfId="2" applyFont="1" applyFill="1" applyBorder="1" applyAlignment="1" applyProtection="1">
      <alignment horizontal="center" vertical="center"/>
    </xf>
    <xf numFmtId="9" fontId="0" fillId="15" borderId="16" xfId="2" applyFont="1" applyFill="1" applyBorder="1" applyAlignment="1" applyProtection="1">
      <alignment horizontal="center" vertical="center"/>
    </xf>
    <xf numFmtId="0" fontId="0" fillId="0" borderId="0" xfId="0" applyAlignment="1">
      <alignment horizontal="center"/>
    </xf>
    <xf numFmtId="9" fontId="0" fillId="0" borderId="0" xfId="2" applyFont="1" applyAlignment="1">
      <alignment horizontal="center"/>
    </xf>
    <xf numFmtId="175" fontId="0" fillId="0" borderId="0" xfId="0" applyNumberFormat="1"/>
    <xf numFmtId="0" fontId="24" fillId="0" borderId="0" xfId="7" applyFont="1"/>
    <xf numFmtId="0" fontId="26" fillId="0" borderId="0" xfId="7" applyFont="1"/>
    <xf numFmtId="0" fontId="26" fillId="11" borderId="0" xfId="7" applyFont="1" applyFill="1"/>
    <xf numFmtId="0" fontId="27" fillId="0" borderId="0" xfId="7" applyFont="1"/>
    <xf numFmtId="0" fontId="24" fillId="0" borderId="0" xfId="0" applyFont="1" applyAlignment="1">
      <alignment wrapText="1"/>
    </xf>
    <xf numFmtId="0" fontId="2" fillId="11" borderId="0" xfId="0" applyFont="1" applyFill="1" applyAlignment="1">
      <alignment horizontal="center" vertical="center" wrapText="1"/>
    </xf>
    <xf numFmtId="0" fontId="24" fillId="0" borderId="0" xfId="1" applyNumberFormat="1" applyFont="1" applyAlignment="1">
      <alignment horizontal="left"/>
    </xf>
    <xf numFmtId="166" fontId="24" fillId="0" borderId="0" xfId="0" applyNumberFormat="1" applyFont="1" applyAlignment="1">
      <alignment horizontal="left"/>
    </xf>
    <xf numFmtId="3" fontId="13" fillId="0" borderId="10" xfId="1" applyNumberFormat="1" applyFont="1" applyBorder="1" applyAlignment="1" applyProtection="1">
      <alignment horizontal="center" vertical="center"/>
    </xf>
    <xf numFmtId="3" fontId="13" fillId="0" borderId="0" xfId="1" applyNumberFormat="1" applyFont="1" applyBorder="1" applyAlignment="1" applyProtection="1">
      <alignment horizontal="center" vertical="center"/>
    </xf>
    <xf numFmtId="3" fontId="13" fillId="0" borderId="11" xfId="1" applyNumberFormat="1" applyFont="1" applyBorder="1" applyAlignment="1" applyProtection="1">
      <alignment horizontal="center" vertical="center"/>
    </xf>
    <xf numFmtId="177" fontId="1" fillId="11" borderId="0" xfId="1" applyNumberFormat="1" applyFont="1" applyFill="1" applyBorder="1" applyAlignment="1" applyProtection="1">
      <alignment horizontal="right"/>
    </xf>
    <xf numFmtId="3" fontId="13" fillId="15" borderId="10" xfId="1" applyNumberFormat="1" applyFont="1" applyFill="1" applyBorder="1" applyAlignment="1" applyProtection="1">
      <alignment horizontal="center" vertical="center"/>
    </xf>
    <xf numFmtId="3" fontId="13" fillId="15" borderId="0" xfId="1" applyNumberFormat="1" applyFont="1" applyFill="1" applyBorder="1" applyAlignment="1" applyProtection="1">
      <alignment horizontal="center" vertical="center"/>
    </xf>
    <xf numFmtId="3" fontId="13" fillId="15" borderId="11" xfId="1" applyNumberFormat="1" applyFont="1" applyFill="1" applyBorder="1" applyAlignment="1" applyProtection="1">
      <alignment horizontal="center" vertical="center"/>
    </xf>
    <xf numFmtId="0" fontId="28" fillId="0" borderId="0" xfId="7" applyFont="1"/>
    <xf numFmtId="3" fontId="13" fillId="0" borderId="10" xfId="1" applyNumberFormat="1" applyFont="1" applyFill="1" applyBorder="1" applyAlignment="1" applyProtection="1">
      <alignment horizontal="center" vertical="center"/>
    </xf>
    <xf numFmtId="3" fontId="13" fillId="0" borderId="0" xfId="1" applyNumberFormat="1" applyFont="1" applyFill="1" applyBorder="1" applyAlignment="1" applyProtection="1">
      <alignment horizontal="center" vertical="center"/>
    </xf>
    <xf numFmtId="3" fontId="13" fillId="0" borderId="11" xfId="1" applyNumberFormat="1" applyFont="1" applyFill="1" applyBorder="1" applyAlignment="1" applyProtection="1">
      <alignment horizontal="center" vertical="center"/>
    </xf>
    <xf numFmtId="3" fontId="13" fillId="0" borderId="36" xfId="1" applyNumberFormat="1" applyFont="1" applyBorder="1" applyAlignment="1" applyProtection="1">
      <alignment horizontal="center" vertical="center"/>
    </xf>
    <xf numFmtId="3" fontId="13" fillId="15" borderId="36" xfId="1" applyNumberFormat="1" applyFont="1" applyFill="1" applyBorder="1" applyAlignment="1" applyProtection="1">
      <alignment horizontal="center" vertical="center"/>
    </xf>
    <xf numFmtId="177" fontId="5" fillId="11" borderId="0" xfId="1" applyNumberFormat="1" applyFont="1" applyFill="1" applyBorder="1" applyAlignment="1" applyProtection="1">
      <alignment horizontal="right"/>
    </xf>
    <xf numFmtId="3" fontId="13" fillId="15" borderId="15" xfId="1" applyNumberFormat="1" applyFont="1" applyFill="1" applyBorder="1" applyAlignment="1" applyProtection="1">
      <alignment horizontal="center" vertical="center"/>
    </xf>
    <xf numFmtId="3" fontId="13" fillId="15" borderId="37" xfId="1" applyNumberFormat="1" applyFont="1" applyFill="1" applyBorder="1" applyAlignment="1" applyProtection="1">
      <alignment horizontal="center" vertical="center"/>
    </xf>
    <xf numFmtId="3" fontId="24" fillId="0" borderId="0" xfId="7" applyNumberFormat="1" applyFont="1"/>
    <xf numFmtId="174" fontId="24" fillId="0" borderId="0" xfId="7" applyNumberFormat="1" applyFont="1"/>
    <xf numFmtId="0" fontId="29" fillId="11" borderId="0" xfId="0" applyFont="1" applyFill="1"/>
    <xf numFmtId="14" fontId="3" fillId="0" borderId="0" xfId="0" applyNumberFormat="1" applyFont="1"/>
    <xf numFmtId="0" fontId="30" fillId="11" borderId="0" xfId="0" applyFont="1" applyFill="1"/>
    <xf numFmtId="0" fontId="31" fillId="0" borderId="0" xfId="0" applyFont="1"/>
    <xf numFmtId="164" fontId="32" fillId="0" borderId="0" xfId="0" applyNumberFormat="1" applyFont="1"/>
    <xf numFmtId="9" fontId="0" fillId="0" borderId="36" xfId="2" applyFont="1" applyFill="1" applyBorder="1" applyAlignment="1">
      <alignment horizontal="center" vertical="center"/>
    </xf>
    <xf numFmtId="3" fontId="0" fillId="19" borderId="10" xfId="0" applyNumberFormat="1" applyFill="1" applyBorder="1" applyAlignment="1">
      <alignment horizontal="center" vertical="center"/>
    </xf>
    <xf numFmtId="3" fontId="0" fillId="19" borderId="0" xfId="0" applyNumberFormat="1" applyFill="1" applyAlignment="1">
      <alignment horizontal="center" vertical="center"/>
    </xf>
    <xf numFmtId="9" fontId="0" fillId="19" borderId="36" xfId="2" applyFont="1" applyFill="1" applyBorder="1" applyAlignment="1">
      <alignment horizontal="center" vertical="center"/>
    </xf>
    <xf numFmtId="3" fontId="0" fillId="19" borderId="15" xfId="0" applyNumberFormat="1" applyFill="1" applyBorder="1" applyAlignment="1">
      <alignment horizontal="center" vertical="center"/>
    </xf>
    <xf numFmtId="3" fontId="0" fillId="19" borderId="5" xfId="0" applyNumberFormat="1" applyFill="1" applyBorder="1" applyAlignment="1">
      <alignment horizontal="center" vertical="center"/>
    </xf>
    <xf numFmtId="9" fontId="0" fillId="19" borderId="37" xfId="2" applyFont="1" applyFill="1" applyBorder="1" applyAlignment="1">
      <alignment horizontal="center" vertical="center"/>
    </xf>
    <xf numFmtId="9" fontId="13" fillId="0" borderId="36" xfId="2" applyFont="1" applyFill="1" applyBorder="1" applyAlignment="1" applyProtection="1">
      <alignment horizontal="center" vertical="center"/>
    </xf>
    <xf numFmtId="3" fontId="13" fillId="11" borderId="10" xfId="0" applyNumberFormat="1" applyFont="1" applyFill="1" applyBorder="1" applyAlignment="1">
      <alignment horizontal="center" vertical="center"/>
    </xf>
    <xf numFmtId="3" fontId="13" fillId="11" borderId="0" xfId="0" applyNumberFormat="1" applyFont="1" applyFill="1" applyAlignment="1">
      <alignment horizontal="center" vertical="center"/>
    </xf>
    <xf numFmtId="9" fontId="13" fillId="11" borderId="36" xfId="2" applyFont="1" applyFill="1" applyBorder="1" applyAlignment="1" applyProtection="1">
      <alignment horizontal="center" vertical="center"/>
    </xf>
    <xf numFmtId="0" fontId="33" fillId="0" borderId="0" xfId="0" applyFont="1"/>
    <xf numFmtId="0" fontId="34" fillId="0" borderId="0" xfId="7" applyFont="1"/>
    <xf numFmtId="0" fontId="35" fillId="0" borderId="0" xfId="0" applyFont="1"/>
    <xf numFmtId="0" fontId="36" fillId="0" borderId="0" xfId="7" applyFont="1"/>
    <xf numFmtId="0" fontId="37" fillId="0" borderId="0" xfId="0" applyFont="1"/>
    <xf numFmtId="0" fontId="2" fillId="14" borderId="9" xfId="0" applyFont="1" applyFill="1" applyBorder="1" applyAlignment="1">
      <alignment horizontal="center" vertical="center" wrapText="1"/>
    </xf>
    <xf numFmtId="0" fontId="2" fillId="16" borderId="39" xfId="0" applyFont="1" applyFill="1" applyBorder="1" applyAlignment="1">
      <alignment horizontal="right"/>
    </xf>
    <xf numFmtId="0" fontId="24" fillId="0" borderId="0" xfId="0" applyFont="1" applyAlignment="1">
      <alignment horizontal="left"/>
    </xf>
    <xf numFmtId="178" fontId="13" fillId="0" borderId="31" xfId="1" applyNumberFormat="1" applyFont="1" applyBorder="1" applyAlignment="1" applyProtection="1">
      <alignment horizontal="center" vertical="center"/>
    </xf>
    <xf numFmtId="178" fontId="13" fillId="0" borderId="10" xfId="1" applyNumberFormat="1" applyFont="1" applyBorder="1" applyAlignment="1" applyProtection="1">
      <alignment horizontal="center" vertical="center"/>
    </xf>
    <xf numFmtId="178" fontId="0" fillId="11" borderId="25" xfId="1" applyNumberFormat="1" applyFont="1" applyFill="1" applyBorder="1" applyAlignment="1">
      <alignment horizontal="center" vertical="center"/>
    </xf>
    <xf numFmtId="9" fontId="0" fillId="11" borderId="11" xfId="2" applyFont="1" applyFill="1" applyBorder="1" applyAlignment="1">
      <alignment horizontal="center" vertical="center"/>
    </xf>
    <xf numFmtId="178" fontId="0" fillId="19" borderId="25" xfId="1" applyNumberFormat="1" applyFont="1" applyFill="1" applyBorder="1" applyAlignment="1">
      <alignment horizontal="center" vertical="center"/>
    </xf>
    <xf numFmtId="9" fontId="13" fillId="15" borderId="11" xfId="0" applyNumberFormat="1" applyFont="1" applyFill="1" applyBorder="1" applyAlignment="1">
      <alignment horizontal="center" vertical="center"/>
    </xf>
    <xf numFmtId="178" fontId="13" fillId="15" borderId="31" xfId="1" applyNumberFormat="1" applyFont="1" applyFill="1" applyBorder="1" applyAlignment="1" applyProtection="1">
      <alignment horizontal="center" vertical="center"/>
    </xf>
    <xf numFmtId="178" fontId="13" fillId="15" borderId="10" xfId="1" applyNumberFormat="1" applyFont="1" applyFill="1" applyBorder="1" applyAlignment="1" applyProtection="1">
      <alignment horizontal="center" vertical="center"/>
    </xf>
    <xf numFmtId="9" fontId="0" fillId="19" borderId="11" xfId="2" applyFont="1" applyFill="1" applyBorder="1" applyAlignment="1">
      <alignment horizontal="center" vertical="center"/>
    </xf>
    <xf numFmtId="178" fontId="13" fillId="19" borderId="25" xfId="1" applyNumberFormat="1" applyFont="1" applyFill="1" applyBorder="1" applyAlignment="1">
      <alignment horizontal="center" vertical="center"/>
    </xf>
    <xf numFmtId="178" fontId="13" fillId="11" borderId="25" xfId="1" applyNumberFormat="1" applyFont="1" applyFill="1" applyBorder="1" applyAlignment="1">
      <alignment horizontal="center" vertical="center"/>
    </xf>
    <xf numFmtId="0" fontId="2" fillId="17" borderId="41" xfId="0" applyFont="1" applyFill="1" applyBorder="1" applyAlignment="1">
      <alignment horizontal="right"/>
    </xf>
    <xf numFmtId="178" fontId="13" fillId="15" borderId="34" xfId="1" applyNumberFormat="1" applyFont="1" applyFill="1" applyBorder="1" applyAlignment="1">
      <alignment horizontal="center" vertical="center"/>
    </xf>
    <xf numFmtId="9" fontId="1" fillId="15" borderId="16" xfId="2" applyFont="1" applyFill="1" applyBorder="1" applyAlignment="1">
      <alignment horizontal="center" vertical="center"/>
    </xf>
    <xf numFmtId="178" fontId="13" fillId="11" borderId="34" xfId="1" applyNumberFormat="1" applyFont="1" applyFill="1" applyBorder="1" applyAlignment="1">
      <alignment horizontal="center" vertical="center"/>
    </xf>
    <xf numFmtId="9" fontId="13" fillId="0" borderId="16" xfId="0" applyNumberFormat="1" applyFont="1" applyBorder="1" applyAlignment="1">
      <alignment horizontal="center" vertical="center"/>
    </xf>
    <xf numFmtId="178" fontId="13" fillId="11" borderId="31" xfId="1" applyNumberFormat="1" applyFont="1" applyFill="1" applyBorder="1" applyAlignment="1" applyProtection="1">
      <alignment horizontal="center" vertical="center"/>
    </xf>
    <xf numFmtId="178" fontId="13" fillId="11" borderId="10" xfId="1" applyNumberFormat="1" applyFont="1" applyFill="1" applyBorder="1" applyAlignment="1" applyProtection="1">
      <alignment horizontal="center" vertical="center"/>
    </xf>
    <xf numFmtId="9" fontId="13" fillId="11" borderId="11" xfId="2" applyFont="1" applyFill="1" applyBorder="1" applyAlignment="1" applyProtection="1">
      <alignment horizontal="center" vertical="center"/>
    </xf>
    <xf numFmtId="178" fontId="13" fillId="11" borderId="44" xfId="1" applyNumberFormat="1" applyFont="1" applyFill="1" applyBorder="1" applyAlignment="1" applyProtection="1">
      <alignment horizontal="center" vertical="center"/>
    </xf>
    <xf numFmtId="178" fontId="13" fillId="11" borderId="15" xfId="1" applyNumberFormat="1" applyFont="1" applyFill="1" applyBorder="1" applyAlignment="1" applyProtection="1">
      <alignment horizontal="center" vertical="center"/>
    </xf>
    <xf numFmtId="9" fontId="13" fillId="11" borderId="16" xfId="2" applyFont="1" applyFill="1" applyBorder="1" applyAlignment="1" applyProtection="1">
      <alignment horizontal="center" vertical="center"/>
    </xf>
    <xf numFmtId="9" fontId="24" fillId="0" borderId="0" xfId="2" applyFont="1" applyAlignment="1"/>
    <xf numFmtId="9" fontId="24" fillId="0" borderId="0" xfId="7" applyNumberFormat="1" applyFont="1"/>
    <xf numFmtId="178" fontId="24" fillId="0" borderId="0" xfId="7" applyNumberFormat="1" applyFont="1"/>
    <xf numFmtId="0" fontId="0" fillId="4" borderId="3" xfId="0" applyFill="1" applyBorder="1"/>
    <xf numFmtId="0" fontId="2" fillId="3" borderId="17" xfId="0" applyFont="1" applyFill="1" applyBorder="1"/>
    <xf numFmtId="1" fontId="2" fillId="3" borderId="18" xfId="0" applyNumberFormat="1" applyFont="1" applyFill="1" applyBorder="1" applyAlignment="1">
      <alignment horizontal="center"/>
    </xf>
    <xf numFmtId="1" fontId="2" fillId="3" borderId="21" xfId="0" applyNumberFormat="1" applyFont="1" applyFill="1" applyBorder="1" applyAlignment="1">
      <alignment horizontal="left"/>
    </xf>
    <xf numFmtId="3" fontId="2" fillId="3" borderId="22" xfId="0" applyNumberFormat="1" applyFont="1" applyFill="1" applyBorder="1" applyAlignment="1">
      <alignment horizontal="center"/>
    </xf>
    <xf numFmtId="3" fontId="2" fillId="3" borderId="23" xfId="0" applyNumberFormat="1" applyFont="1" applyFill="1" applyBorder="1" applyAlignment="1">
      <alignment horizontal="center"/>
    </xf>
    <xf numFmtId="38" fontId="2" fillId="3" borderId="24" xfId="0" quotePrefix="1" applyNumberFormat="1" applyFont="1" applyFill="1" applyBorder="1" applyAlignment="1">
      <alignment horizontal="center"/>
    </xf>
    <xf numFmtId="0" fontId="38" fillId="21" borderId="4" xfId="0" applyFont="1" applyFill="1" applyBorder="1" applyAlignment="1">
      <alignment vertical="center"/>
    </xf>
    <xf numFmtId="4" fontId="13" fillId="4" borderId="10" xfId="0" applyNumberFormat="1" applyFont="1" applyFill="1" applyBorder="1" applyAlignment="1">
      <alignment horizontal="center"/>
    </xf>
    <xf numFmtId="4" fontId="13" fillId="4" borderId="25" xfId="0" applyNumberFormat="1" applyFont="1" applyFill="1" applyBorder="1" applyAlignment="1">
      <alignment horizontal="center"/>
    </xf>
    <xf numFmtId="9" fontId="13" fillId="4" borderId="11" xfId="2" applyFont="1" applyFill="1" applyBorder="1" applyAlignment="1">
      <alignment horizontal="center"/>
    </xf>
    <xf numFmtId="4" fontId="13" fillId="11" borderId="10" xfId="0" applyNumberFormat="1" applyFont="1" applyFill="1" applyBorder="1" applyAlignment="1">
      <alignment horizontal="center"/>
    </xf>
    <xf numFmtId="4" fontId="13" fillId="11" borderId="25" xfId="0" applyNumberFormat="1" applyFont="1" applyFill="1" applyBorder="1" applyAlignment="1">
      <alignment horizontal="center"/>
    </xf>
    <xf numFmtId="9" fontId="13" fillId="11" borderId="11" xfId="2" applyFont="1" applyFill="1" applyBorder="1" applyAlignment="1">
      <alignment horizontal="center"/>
    </xf>
    <xf numFmtId="167" fontId="3" fillId="0" borderId="0" xfId="2" applyNumberFormat="1" applyFont="1" applyFill="1" applyBorder="1"/>
    <xf numFmtId="3" fontId="13" fillId="11" borderId="25" xfId="0" applyNumberFormat="1" applyFont="1" applyFill="1" applyBorder="1"/>
    <xf numFmtId="0" fontId="38" fillId="21" borderId="12" xfId="0" applyFont="1" applyFill="1" applyBorder="1" applyAlignment="1">
      <alignment vertical="center"/>
    </xf>
    <xf numFmtId="0" fontId="38" fillId="21" borderId="45" xfId="0" applyFont="1" applyFill="1" applyBorder="1" applyAlignment="1">
      <alignment vertical="center"/>
    </xf>
    <xf numFmtId="4" fontId="15" fillId="0" borderId="13" xfId="0" applyNumberFormat="1" applyFont="1" applyBorder="1" applyAlignment="1">
      <alignment horizontal="center"/>
    </xf>
    <xf numFmtId="4" fontId="15" fillId="0" borderId="32" xfId="0" applyNumberFormat="1" applyFont="1" applyBorder="1" applyAlignment="1">
      <alignment horizontal="center"/>
    </xf>
    <xf numFmtId="9" fontId="15" fillId="0" borderId="27" xfId="2" applyFont="1" applyFill="1" applyBorder="1" applyAlignment="1">
      <alignment horizontal="center"/>
    </xf>
    <xf numFmtId="0" fontId="38" fillId="21" borderId="14" xfId="0" applyFont="1" applyFill="1" applyBorder="1" applyAlignment="1">
      <alignment vertical="center"/>
    </xf>
    <xf numFmtId="4" fontId="15" fillId="0" borderId="15" xfId="0" applyNumberFormat="1" applyFont="1" applyBorder="1" applyAlignment="1">
      <alignment horizontal="center"/>
    </xf>
    <xf numFmtId="4" fontId="15" fillId="0" borderId="34" xfId="0" applyNumberFormat="1" applyFont="1" applyBorder="1" applyAlignment="1">
      <alignment horizontal="center"/>
    </xf>
    <xf numFmtId="9" fontId="15" fillId="0" borderId="16" xfId="2" applyFont="1" applyFill="1" applyBorder="1" applyAlignment="1">
      <alignment horizontal="center"/>
    </xf>
    <xf numFmtId="0" fontId="40" fillId="0" borderId="0" xfId="0" applyFont="1"/>
    <xf numFmtId="0" fontId="13" fillId="0" borderId="0" xfId="0" applyFont="1" applyAlignment="1">
      <alignment vertical="center"/>
    </xf>
    <xf numFmtId="1" fontId="2" fillId="3" borderId="19" xfId="0" applyNumberFormat="1" applyFont="1" applyFill="1" applyBorder="1" applyAlignment="1">
      <alignment horizontal="center"/>
    </xf>
    <xf numFmtId="1" fontId="2" fillId="3" borderId="28" xfId="0" applyNumberFormat="1" applyFont="1" applyFill="1" applyBorder="1" applyAlignment="1">
      <alignment horizontal="center"/>
    </xf>
    <xf numFmtId="3" fontId="2" fillId="3" borderId="30" xfId="0" applyNumberFormat="1" applyFont="1" applyFill="1" applyBorder="1" applyAlignment="1">
      <alignment horizontal="center"/>
    </xf>
    <xf numFmtId="0" fontId="2" fillId="3" borderId="30" xfId="0" applyFont="1" applyFill="1" applyBorder="1" applyAlignment="1">
      <alignment horizontal="center"/>
    </xf>
    <xf numFmtId="173" fontId="2" fillId="3" borderId="30" xfId="0" applyNumberFormat="1" applyFont="1" applyFill="1" applyBorder="1" applyAlignment="1">
      <alignment horizontal="center"/>
    </xf>
    <xf numFmtId="170" fontId="2" fillId="3" borderId="30" xfId="0" applyNumberFormat="1" applyFont="1" applyFill="1" applyBorder="1" applyAlignment="1">
      <alignment horizontal="center"/>
    </xf>
    <xf numFmtId="170" fontId="2" fillId="3" borderId="23" xfId="0" applyNumberFormat="1" applyFont="1" applyFill="1" applyBorder="1" applyAlignment="1">
      <alignment horizontal="center"/>
    </xf>
    <xf numFmtId="171" fontId="2" fillId="3" borderId="24" xfId="0" applyNumberFormat="1" applyFont="1" applyFill="1" applyBorder="1" applyAlignment="1">
      <alignment horizontal="center"/>
    </xf>
    <xf numFmtId="1" fontId="2" fillId="3" borderId="4" xfId="0" applyNumberFormat="1" applyFont="1" applyFill="1" applyBorder="1"/>
    <xf numFmtId="4" fontId="13" fillId="0" borderId="25" xfId="0" applyNumberFormat="1" applyFont="1" applyBorder="1" applyAlignment="1">
      <alignment horizontal="center"/>
    </xf>
    <xf numFmtId="4" fontId="13" fillId="0" borderId="25" xfId="0" applyNumberFormat="1" applyFont="1" applyBorder="1" applyAlignment="1">
      <alignment horizontal="center" vertical="center"/>
    </xf>
    <xf numFmtId="9" fontId="13" fillId="0" borderId="36" xfId="0" applyNumberFormat="1" applyFont="1" applyBorder="1" applyAlignment="1">
      <alignment horizontal="center" vertical="center"/>
    </xf>
    <xf numFmtId="4" fontId="13" fillId="4" borderId="0" xfId="0" applyNumberFormat="1" applyFont="1" applyFill="1" applyAlignment="1">
      <alignment horizontal="center"/>
    </xf>
    <xf numFmtId="4" fontId="13" fillId="4" borderId="25" xfId="0" applyNumberFormat="1" applyFont="1" applyFill="1" applyBorder="1" applyAlignment="1">
      <alignment horizontal="center" vertical="center"/>
    </xf>
    <xf numFmtId="9" fontId="13" fillId="4" borderId="36" xfId="0" applyNumberFormat="1" applyFont="1" applyFill="1" applyBorder="1" applyAlignment="1">
      <alignment horizontal="center" vertical="center"/>
    </xf>
    <xf numFmtId="1" fontId="2" fillId="3" borderId="4" xfId="0" applyNumberFormat="1" applyFont="1" applyFill="1" applyBorder="1" applyAlignment="1">
      <alignment horizontal="left"/>
    </xf>
    <xf numFmtId="9" fontId="13" fillId="11" borderId="36" xfId="0" applyNumberFormat="1" applyFont="1" applyFill="1" applyBorder="1" applyAlignment="1">
      <alignment horizontal="center" vertical="center"/>
    </xf>
    <xf numFmtId="10" fontId="0" fillId="0" borderId="0" xfId="2" applyNumberFormat="1" applyFont="1"/>
    <xf numFmtId="1" fontId="2" fillId="3" borderId="26" xfId="0" applyNumberFormat="1" applyFont="1" applyFill="1" applyBorder="1"/>
    <xf numFmtId="4" fontId="15" fillId="4" borderId="32" xfId="0" applyNumberFormat="1" applyFont="1" applyFill="1" applyBorder="1" applyAlignment="1">
      <alignment horizontal="center"/>
    </xf>
    <xf numFmtId="4" fontId="15" fillId="4" borderId="33" xfId="0" applyNumberFormat="1" applyFont="1" applyFill="1" applyBorder="1" applyAlignment="1">
      <alignment horizontal="center"/>
    </xf>
    <xf numFmtId="171" fontId="15" fillId="4" borderId="35" xfId="0" applyNumberFormat="1" applyFont="1" applyFill="1" applyBorder="1" applyAlignment="1">
      <alignment horizontal="center" vertical="center"/>
    </xf>
    <xf numFmtId="1" fontId="2" fillId="3" borderId="41" xfId="0" applyNumberFormat="1" applyFont="1" applyFill="1" applyBorder="1"/>
    <xf numFmtId="4" fontId="15" fillId="4" borderId="34" xfId="0" applyNumberFormat="1" applyFont="1" applyFill="1" applyBorder="1" applyAlignment="1">
      <alignment horizontal="center"/>
    </xf>
    <xf numFmtId="4" fontId="15" fillId="4" borderId="5" xfId="0" applyNumberFormat="1" applyFont="1" applyFill="1" applyBorder="1" applyAlignment="1">
      <alignment horizontal="center"/>
    </xf>
    <xf numFmtId="9" fontId="15" fillId="4" borderId="37" xfId="0" applyNumberFormat="1" applyFont="1" applyFill="1" applyBorder="1" applyAlignment="1">
      <alignment horizontal="center" vertical="center"/>
    </xf>
    <xf numFmtId="171" fontId="15" fillId="0" borderId="0" xfId="0" applyNumberFormat="1" applyFont="1" applyAlignment="1">
      <alignment horizontal="right"/>
    </xf>
    <xf numFmtId="0" fontId="28" fillId="0" borderId="0" xfId="0" applyFont="1"/>
    <xf numFmtId="0" fontId="15" fillId="0" borderId="0" xfId="0" applyFont="1" applyAlignment="1">
      <alignment horizontal="center"/>
    </xf>
    <xf numFmtId="0" fontId="2" fillId="2" borderId="39" xfId="0" applyFont="1" applyFill="1" applyBorder="1"/>
    <xf numFmtId="1" fontId="2" fillId="2" borderId="38" xfId="0" applyNumberFormat="1" applyFont="1" applyFill="1" applyBorder="1" applyAlignment="1">
      <alignment horizontal="right"/>
    </xf>
    <xf numFmtId="1" fontId="2" fillId="2" borderId="40" xfId="0" applyNumberFormat="1" applyFont="1" applyFill="1" applyBorder="1" applyAlignment="1">
      <alignment horizontal="right"/>
    </xf>
    <xf numFmtId="0" fontId="41" fillId="22" borderId="45" xfId="0" applyFont="1" applyFill="1" applyBorder="1" applyAlignment="1">
      <alignment vertical="center"/>
    </xf>
    <xf numFmtId="3" fontId="13" fillId="23" borderId="0" xfId="0" applyNumberFormat="1" applyFont="1" applyFill="1"/>
    <xf numFmtId="3" fontId="13" fillId="23" borderId="36" xfId="0" applyNumberFormat="1" applyFont="1" applyFill="1" applyBorder="1"/>
    <xf numFmtId="0" fontId="41" fillId="22" borderId="12" xfId="0" applyFont="1" applyFill="1" applyBorder="1" applyAlignment="1">
      <alignment vertical="center"/>
    </xf>
    <xf numFmtId="3" fontId="13" fillId="0" borderId="0" xfId="0" applyNumberFormat="1" applyFont="1"/>
    <xf numFmtId="3" fontId="13" fillId="0" borderId="36" xfId="0" applyNumberFormat="1" applyFont="1" applyBorder="1"/>
    <xf numFmtId="0" fontId="2" fillId="2" borderId="45" xfId="0" applyFont="1" applyFill="1" applyBorder="1"/>
    <xf numFmtId="3" fontId="15" fillId="24" borderId="33" xfId="0" applyNumberFormat="1" applyFont="1" applyFill="1" applyBorder="1"/>
    <xf numFmtId="3" fontId="15" fillId="24" borderId="35" xfId="0" applyNumberFormat="1" applyFont="1" applyFill="1" applyBorder="1"/>
    <xf numFmtId="0" fontId="2" fillId="2" borderId="12" xfId="0" applyFont="1" applyFill="1" applyBorder="1"/>
    <xf numFmtId="173" fontId="15" fillId="0" borderId="0" xfId="0" applyNumberFormat="1" applyFont="1"/>
    <xf numFmtId="173" fontId="15" fillId="0" borderId="0" xfId="0" applyNumberFormat="1" applyFont="1" applyAlignment="1">
      <alignment horizontal="right"/>
    </xf>
    <xf numFmtId="173" fontId="15" fillId="0" borderId="36" xfId="0" applyNumberFormat="1" applyFont="1" applyBorder="1" applyAlignment="1">
      <alignment horizontal="right"/>
    </xf>
    <xf numFmtId="0" fontId="2" fillId="2" borderId="14" xfId="0" applyFont="1" applyFill="1" applyBorder="1"/>
    <xf numFmtId="3" fontId="15" fillId="23" borderId="5" xfId="0" applyNumberFormat="1" applyFont="1" applyFill="1" applyBorder="1"/>
    <xf numFmtId="3" fontId="15" fillId="23" borderId="37" xfId="0" applyNumberFormat="1" applyFont="1" applyFill="1" applyBorder="1"/>
    <xf numFmtId="0" fontId="2" fillId="0" borderId="0" xfId="0" applyFont="1"/>
    <xf numFmtId="173" fontId="15" fillId="0" borderId="0" xfId="1" applyNumberFormat="1" applyFont="1" applyFill="1" applyBorder="1"/>
    <xf numFmtId="0" fontId="42" fillId="0" borderId="0" xfId="0" applyFont="1"/>
    <xf numFmtId="0" fontId="12" fillId="0" borderId="0" xfId="0" applyFont="1"/>
    <xf numFmtId="0" fontId="43" fillId="0" borderId="0" xfId="0" applyFont="1"/>
    <xf numFmtId="0" fontId="26" fillId="0" borderId="0" xfId="0" applyFont="1"/>
    <xf numFmtId="0" fontId="44" fillId="0" borderId="0" xfId="0" applyFont="1"/>
    <xf numFmtId="0" fontId="2" fillId="2" borderId="7" xfId="0" applyFont="1" applyFill="1" applyBorder="1" applyAlignment="1">
      <alignment horizontal="right"/>
    </xf>
    <xf numFmtId="0" fontId="2" fillId="2" borderId="38" xfId="0" applyFont="1" applyFill="1" applyBorder="1" applyAlignment="1">
      <alignment horizontal="right"/>
    </xf>
    <xf numFmtId="0" fontId="2" fillId="2" borderId="40" xfId="0" applyFont="1" applyFill="1" applyBorder="1" applyAlignment="1">
      <alignment horizontal="right"/>
    </xf>
    <xf numFmtId="173" fontId="13" fillId="0" borderId="32" xfId="0" applyNumberFormat="1" applyFont="1" applyBorder="1"/>
    <xf numFmtId="173" fontId="13" fillId="0" borderId="0" xfId="0" applyNumberFormat="1" applyFont="1"/>
    <xf numFmtId="173" fontId="13" fillId="0" borderId="0" xfId="1" applyNumberFormat="1" applyFont="1" applyFill="1" applyBorder="1"/>
    <xf numFmtId="173" fontId="0" fillId="0" borderId="36" xfId="1" applyNumberFormat="1" applyFont="1" applyFill="1" applyBorder="1"/>
    <xf numFmtId="173" fontId="13" fillId="23" borderId="25" xfId="0" applyNumberFormat="1" applyFont="1" applyFill="1" applyBorder="1"/>
    <xf numFmtId="173" fontId="13" fillId="23" borderId="0" xfId="0" applyNumberFormat="1" applyFont="1" applyFill="1"/>
    <xf numFmtId="173" fontId="13" fillId="23" borderId="0" xfId="1" applyNumberFormat="1" applyFont="1" applyFill="1" applyBorder="1"/>
    <xf numFmtId="173" fontId="0" fillId="23" borderId="36" xfId="1" applyNumberFormat="1" applyFont="1" applyFill="1" applyBorder="1"/>
    <xf numFmtId="173" fontId="13" fillId="0" borderId="25" xfId="0" applyNumberFormat="1" applyFont="1" applyBorder="1"/>
    <xf numFmtId="0" fontId="2" fillId="2" borderId="26" xfId="0" applyFont="1" applyFill="1" applyBorder="1"/>
    <xf numFmtId="173" fontId="4" fillId="0" borderId="33" xfId="1" applyNumberFormat="1" applyFont="1" applyFill="1" applyBorder="1" applyAlignment="1">
      <alignment horizontal="right"/>
    </xf>
    <xf numFmtId="173" fontId="4" fillId="0" borderId="35" xfId="1" applyNumberFormat="1" applyFont="1" applyFill="1" applyBorder="1" applyAlignment="1">
      <alignment horizontal="right"/>
    </xf>
    <xf numFmtId="0" fontId="2" fillId="2" borderId="4" xfId="0" applyFont="1" applyFill="1" applyBorder="1"/>
    <xf numFmtId="173" fontId="15" fillId="0" borderId="25" xfId="0" applyNumberFormat="1" applyFont="1" applyBorder="1" applyAlignment="1">
      <alignment horizontal="right"/>
    </xf>
    <xf numFmtId="3" fontId="15" fillId="0" borderId="34" xfId="0" applyNumberFormat="1" applyFont="1" applyBorder="1"/>
    <xf numFmtId="3" fontId="15" fillId="0" borderId="5" xfId="0" applyNumberFormat="1" applyFont="1" applyBorder="1"/>
    <xf numFmtId="3" fontId="15" fillId="0" borderId="5" xfId="0" applyNumberFormat="1" applyFont="1" applyBorder="1" applyAlignment="1">
      <alignment horizontal="right"/>
    </xf>
    <xf numFmtId="3" fontId="4" fillId="0" borderId="37" xfId="0" applyNumberFormat="1" applyFont="1" applyBorder="1" applyAlignment="1">
      <alignment horizontal="right"/>
    </xf>
    <xf numFmtId="173" fontId="0" fillId="0" borderId="0" xfId="2" applyNumberFormat="1" applyFont="1"/>
    <xf numFmtId="0" fontId="30" fillId="0" borderId="0" xfId="0" applyFont="1"/>
    <xf numFmtId="0" fontId="45" fillId="0" borderId="0" xfId="0" applyFont="1"/>
    <xf numFmtId="0" fontId="46" fillId="0" borderId="0" xfId="0" applyFont="1"/>
    <xf numFmtId="0" fontId="47" fillId="0" borderId="0" xfId="0" applyFont="1"/>
    <xf numFmtId="17" fontId="2" fillId="2" borderId="38" xfId="0" applyNumberFormat="1" applyFont="1" applyFill="1" applyBorder="1" applyAlignment="1">
      <alignment horizontal="right"/>
    </xf>
    <xf numFmtId="17" fontId="2" fillId="2" borderId="38" xfId="0" applyNumberFormat="1" applyFont="1" applyFill="1" applyBorder="1"/>
    <xf numFmtId="17" fontId="2" fillId="25" borderId="38" xfId="0" applyNumberFormat="1" applyFont="1" applyFill="1" applyBorder="1"/>
    <xf numFmtId="17" fontId="2" fillId="25" borderId="40" xfId="0" applyNumberFormat="1" applyFont="1" applyFill="1" applyBorder="1"/>
    <xf numFmtId="3" fontId="0" fillId="23" borderId="0" xfId="0" applyNumberFormat="1" applyFill="1"/>
    <xf numFmtId="3" fontId="0" fillId="26" borderId="0" xfId="0" applyNumberFormat="1" applyFill="1"/>
    <xf numFmtId="3" fontId="0" fillId="26" borderId="36" xfId="0" applyNumberFormat="1" applyFill="1" applyBorder="1"/>
    <xf numFmtId="3" fontId="0" fillId="0" borderId="36" xfId="0" applyNumberFormat="1" applyBorder="1"/>
    <xf numFmtId="0" fontId="2" fillId="2" borderId="46" xfId="0" applyFont="1" applyFill="1" applyBorder="1"/>
    <xf numFmtId="3" fontId="15" fillId="24" borderId="47" xfId="0" applyNumberFormat="1" applyFont="1" applyFill="1" applyBorder="1"/>
    <xf numFmtId="3" fontId="4" fillId="24" borderId="47" xfId="0" applyNumberFormat="1" applyFont="1" applyFill="1" applyBorder="1"/>
    <xf numFmtId="3" fontId="4" fillId="26" borderId="47" xfId="0" applyNumberFormat="1" applyFont="1" applyFill="1" applyBorder="1"/>
    <xf numFmtId="3" fontId="4" fillId="26" borderId="48" xfId="0" applyNumberFormat="1" applyFont="1" applyFill="1" applyBorder="1"/>
    <xf numFmtId="173" fontId="0" fillId="0" borderId="0" xfId="0" applyNumberFormat="1"/>
    <xf numFmtId="3" fontId="15" fillId="0" borderId="0" xfId="0" applyNumberFormat="1" applyFont="1"/>
    <xf numFmtId="0" fontId="15" fillId="0" borderId="0" xfId="0" applyFont="1" applyAlignment="1">
      <alignment horizontal="left"/>
    </xf>
    <xf numFmtId="0" fontId="5" fillId="0" borderId="0" xfId="0" applyFont="1" applyAlignment="1">
      <alignment horizontal="right"/>
    </xf>
    <xf numFmtId="0" fontId="2" fillId="2" borderId="49" xfId="0" applyFont="1" applyFill="1" applyBorder="1"/>
    <xf numFmtId="17" fontId="2" fillId="2" borderId="2" xfId="0" applyNumberFormat="1" applyFont="1" applyFill="1" applyBorder="1" applyAlignment="1">
      <alignment horizontal="right"/>
    </xf>
    <xf numFmtId="17" fontId="2" fillId="2" borderId="3" xfId="0" applyNumberFormat="1" applyFont="1" applyFill="1" applyBorder="1" applyAlignment="1">
      <alignment horizontal="right"/>
    </xf>
    <xf numFmtId="17" fontId="2" fillId="0" borderId="0" xfId="0" applyNumberFormat="1" applyFont="1" applyAlignment="1">
      <alignment horizontal="right"/>
    </xf>
    <xf numFmtId="0" fontId="48" fillId="22" borderId="43" xfId="0" applyFont="1" applyFill="1" applyBorder="1" applyAlignment="1">
      <alignment vertical="center"/>
    </xf>
    <xf numFmtId="0" fontId="41" fillId="22" borderId="43" xfId="0" applyFont="1" applyFill="1" applyBorder="1" applyAlignment="1">
      <alignment vertical="center"/>
    </xf>
    <xf numFmtId="0" fontId="41" fillId="22" borderId="50" xfId="0" applyFont="1" applyFill="1" applyBorder="1" applyAlignment="1">
      <alignment vertical="center"/>
    </xf>
    <xf numFmtId="3" fontId="4" fillId="23" borderId="5" xfId="0" applyNumberFormat="1" applyFont="1" applyFill="1" applyBorder="1"/>
    <xf numFmtId="3" fontId="5" fillId="0" borderId="0" xfId="0" applyNumberFormat="1" applyFont="1"/>
    <xf numFmtId="0" fontId="49" fillId="0" borderId="0" xfId="0" applyFont="1"/>
    <xf numFmtId="3" fontId="49" fillId="0" borderId="0" xfId="0" applyNumberFormat="1" applyFont="1"/>
    <xf numFmtId="0" fontId="41" fillId="22" borderId="51" xfId="0" applyFont="1" applyFill="1" applyBorder="1" applyAlignment="1">
      <alignment vertical="center"/>
    </xf>
    <xf numFmtId="0" fontId="41" fillId="22" borderId="4" xfId="0" applyFont="1" applyFill="1" applyBorder="1" applyAlignment="1">
      <alignment vertical="center"/>
    </xf>
    <xf numFmtId="0" fontId="41" fillId="22" borderId="52" xfId="0" applyFont="1" applyFill="1" applyBorder="1" applyAlignment="1">
      <alignment vertical="center"/>
    </xf>
    <xf numFmtId="3" fontId="15" fillId="0" borderId="47" xfId="0" applyNumberFormat="1" applyFont="1" applyBorder="1"/>
    <xf numFmtId="3" fontId="4" fillId="0" borderId="47" xfId="0" applyNumberFormat="1" applyFont="1" applyBorder="1"/>
    <xf numFmtId="3" fontId="4" fillId="0" borderId="48" xfId="0" applyNumberFormat="1" applyFont="1" applyBorder="1"/>
    <xf numFmtId="17" fontId="4" fillId="0" borderId="0" xfId="0" applyNumberFormat="1" applyFont="1" applyAlignment="1">
      <alignment horizontal="right"/>
    </xf>
    <xf numFmtId="17" fontId="4" fillId="0" borderId="0" xfId="0" applyNumberFormat="1" applyFont="1"/>
    <xf numFmtId="0" fontId="50" fillId="0" borderId="0" xfId="0" applyFont="1" applyAlignment="1">
      <alignment vertical="center"/>
    </xf>
    <xf numFmtId="3" fontId="4" fillId="0" borderId="0" xfId="0" applyNumberFormat="1" applyFont="1"/>
    <xf numFmtId="17" fontId="51" fillId="0" borderId="0" xfId="0" applyNumberFormat="1" applyFont="1"/>
    <xf numFmtId="3" fontId="52" fillId="0" borderId="0" xfId="0" applyNumberFormat="1" applyFont="1"/>
    <xf numFmtId="3" fontId="51" fillId="0" borderId="0" xfId="0" applyNumberFormat="1" applyFont="1"/>
    <xf numFmtId="10" fontId="4" fillId="0" borderId="0" xfId="2" applyNumberFormat="1" applyFont="1" applyFill="1" applyBorder="1"/>
    <xf numFmtId="9" fontId="0" fillId="0" borderId="0" xfId="2" applyFont="1" applyFill="1" applyBorder="1"/>
    <xf numFmtId="17" fontId="52" fillId="0" borderId="0" xfId="0" applyNumberFormat="1" applyFont="1"/>
    <xf numFmtId="0" fontId="50" fillId="0" borderId="0" xfId="0" applyFont="1" applyAlignment="1">
      <alignment horizontal="left" vertical="center"/>
    </xf>
    <xf numFmtId="0" fontId="52" fillId="0" borderId="0" xfId="0" applyFont="1"/>
    <xf numFmtId="173" fontId="5" fillId="0" borderId="0" xfId="0" applyNumberFormat="1" applyFont="1"/>
    <xf numFmtId="0" fontId="38" fillId="22" borderId="53" xfId="0" applyFont="1" applyFill="1" applyBorder="1" applyAlignment="1">
      <alignment vertical="center"/>
    </xf>
    <xf numFmtId="0" fontId="38" fillId="22" borderId="7" xfId="0" applyFont="1" applyFill="1" applyBorder="1" applyAlignment="1">
      <alignment vertical="center"/>
    </xf>
    <xf numFmtId="0" fontId="38" fillId="22" borderId="38" xfId="0" applyFont="1" applyFill="1" applyBorder="1" applyAlignment="1">
      <alignment horizontal="left" vertical="center"/>
    </xf>
    <xf numFmtId="0" fontId="38" fillId="22" borderId="8" xfId="0" applyFont="1" applyFill="1" applyBorder="1" applyAlignment="1">
      <alignment horizontal="center" vertical="center"/>
    </xf>
    <xf numFmtId="0" fontId="38" fillId="22" borderId="9" xfId="0" applyFont="1" applyFill="1" applyBorder="1" applyAlignment="1">
      <alignment horizontal="center" vertical="center"/>
    </xf>
    <xf numFmtId="0" fontId="0" fillId="0" borderId="4" xfId="0" applyBorder="1"/>
    <xf numFmtId="0" fontId="0" fillId="0" borderId="25" xfId="0" applyBorder="1"/>
    <xf numFmtId="3" fontId="0" fillId="0" borderId="11" xfId="0" applyNumberFormat="1" applyBorder="1" applyAlignment="1">
      <alignment horizontal="center"/>
    </xf>
    <xf numFmtId="3" fontId="4" fillId="24" borderId="57" xfId="0" quotePrefix="1" applyNumberFormat="1" applyFont="1" applyFill="1" applyBorder="1" applyAlignment="1">
      <alignment horizontal="center"/>
    </xf>
    <xf numFmtId="3" fontId="4" fillId="24" borderId="58" xfId="0" quotePrefix="1" applyNumberFormat="1" applyFont="1" applyFill="1" applyBorder="1" applyAlignment="1">
      <alignment horizontal="center"/>
    </xf>
    <xf numFmtId="3" fontId="44" fillId="0" borderId="0" xfId="0" applyNumberFormat="1" applyFont="1"/>
    <xf numFmtId="0" fontId="53" fillId="0" borderId="0" xfId="0" applyFont="1"/>
    <xf numFmtId="0" fontId="0" fillId="0" borderId="4" xfId="0" applyBorder="1" applyAlignment="1">
      <alignment vertical="center"/>
    </xf>
    <xf numFmtId="0" fontId="54" fillId="0" borderId="0" xfId="0" applyFont="1"/>
    <xf numFmtId="0" fontId="55" fillId="0" borderId="0" xfId="0" applyFont="1"/>
    <xf numFmtId="3" fontId="2" fillId="22" borderId="60" xfId="0" applyNumberFormat="1" applyFont="1" applyFill="1" applyBorder="1" applyAlignment="1">
      <alignment horizontal="center"/>
    </xf>
    <xf numFmtId="3" fontId="2" fillId="22" borderId="61" xfId="0" applyNumberFormat="1" applyFont="1" applyFill="1" applyBorder="1" applyAlignment="1">
      <alignment horizontal="center"/>
    </xf>
    <xf numFmtId="0" fontId="15" fillId="0" borderId="0" xfId="0" applyFont="1" applyAlignment="1">
      <alignment horizontal="right"/>
    </xf>
    <xf numFmtId="0" fontId="2" fillId="2" borderId="38" xfId="0" applyFont="1" applyFill="1" applyBorder="1"/>
    <xf numFmtId="0" fontId="2" fillId="2" borderId="40" xfId="0" applyFont="1" applyFill="1" applyBorder="1"/>
    <xf numFmtId="173" fontId="13" fillId="0" borderId="36" xfId="0" applyNumberFormat="1" applyFont="1" applyBorder="1"/>
    <xf numFmtId="173" fontId="13" fillId="23" borderId="36" xfId="0" applyNumberFormat="1" applyFont="1" applyFill="1" applyBorder="1"/>
    <xf numFmtId="3" fontId="15" fillId="0" borderId="48" xfId="0" applyNumberFormat="1" applyFont="1" applyBorder="1"/>
    <xf numFmtId="0" fontId="2" fillId="0" borderId="28" xfId="0" applyFont="1" applyBorder="1"/>
    <xf numFmtId="0" fontId="19" fillId="0" borderId="0" xfId="0" applyFont="1" applyAlignment="1">
      <alignment horizontal="right"/>
    </xf>
    <xf numFmtId="0" fontId="57" fillId="0" borderId="0" xfId="0" applyFont="1"/>
    <xf numFmtId="0" fontId="41" fillId="27" borderId="39" xfId="0" applyFont="1" applyFill="1" applyBorder="1" applyAlignment="1">
      <alignment horizontal="right"/>
    </xf>
    <xf numFmtId="0" fontId="41" fillId="27" borderId="42" xfId="0" applyFont="1" applyFill="1" applyBorder="1" applyAlignment="1">
      <alignment horizontal="center" vertical="center"/>
    </xf>
    <xf numFmtId="0" fontId="41" fillId="27" borderId="8" xfId="0" applyFont="1" applyFill="1" applyBorder="1" applyAlignment="1">
      <alignment horizontal="center" vertical="center"/>
    </xf>
    <xf numFmtId="0" fontId="41" fillId="27" borderId="9" xfId="0" applyFont="1" applyFill="1" applyBorder="1" applyAlignment="1">
      <alignment horizontal="center" vertical="center"/>
    </xf>
    <xf numFmtId="17" fontId="41" fillId="27" borderId="12" xfId="0" applyNumberFormat="1" applyFont="1" applyFill="1" applyBorder="1"/>
    <xf numFmtId="3" fontId="57" fillId="0" borderId="31" xfId="0" applyNumberFormat="1" applyFont="1" applyBorder="1" applyAlignment="1">
      <alignment horizontal="center"/>
    </xf>
    <xf numFmtId="3" fontId="57" fillId="0" borderId="10" xfId="0" applyNumberFormat="1" applyFont="1" applyBorder="1" applyAlignment="1">
      <alignment horizontal="center"/>
    </xf>
    <xf numFmtId="3" fontId="58" fillId="0" borderId="11" xfId="0" applyNumberFormat="1" applyFont="1" applyBorder="1" applyAlignment="1">
      <alignment horizontal="center"/>
    </xf>
    <xf numFmtId="0" fontId="41" fillId="27" borderId="12" xfId="0" applyFont="1" applyFill="1" applyBorder="1"/>
    <xf numFmtId="3" fontId="57" fillId="0" borderId="11" xfId="0" applyNumberFormat="1" applyFont="1" applyBorder="1" applyAlignment="1">
      <alignment horizontal="center"/>
    </xf>
    <xf numFmtId="17" fontId="41" fillId="27" borderId="12" xfId="0" applyNumberFormat="1" applyFont="1" applyFill="1" applyBorder="1" applyAlignment="1">
      <alignment horizontal="right"/>
    </xf>
    <xf numFmtId="3" fontId="58" fillId="0" borderId="13" xfId="0" applyNumberFormat="1" applyFont="1" applyBorder="1" applyAlignment="1">
      <alignment horizontal="center"/>
    </xf>
    <xf numFmtId="3" fontId="58" fillId="0" borderId="27" xfId="0" applyNumberFormat="1" applyFont="1" applyBorder="1" applyAlignment="1">
      <alignment horizontal="center"/>
    </xf>
    <xf numFmtId="3" fontId="57" fillId="28" borderId="31" xfId="0" applyNumberFormat="1" applyFont="1" applyFill="1" applyBorder="1" applyAlignment="1">
      <alignment horizontal="center"/>
    </xf>
    <xf numFmtId="3" fontId="57" fillId="28" borderId="10" xfId="0" applyNumberFormat="1" applyFont="1" applyFill="1" applyBorder="1" applyAlignment="1">
      <alignment horizontal="center"/>
    </xf>
    <xf numFmtId="3" fontId="57" fillId="28" borderId="11" xfId="0" applyNumberFormat="1" applyFont="1" applyFill="1" applyBorder="1" applyAlignment="1">
      <alignment horizontal="center"/>
    </xf>
    <xf numFmtId="3" fontId="58" fillId="0" borderId="10" xfId="0" applyNumberFormat="1" applyFont="1" applyBorder="1" applyAlignment="1">
      <alignment horizontal="center"/>
    </xf>
    <xf numFmtId="0" fontId="41" fillId="27" borderId="14" xfId="0" applyFont="1" applyFill="1" applyBorder="1"/>
    <xf numFmtId="3" fontId="57" fillId="28" borderId="44" xfId="0" applyNumberFormat="1" applyFont="1" applyFill="1" applyBorder="1" applyAlignment="1">
      <alignment horizontal="center"/>
    </xf>
    <xf numFmtId="3" fontId="57" fillId="28" borderId="15" xfId="0" applyNumberFormat="1" applyFont="1" applyFill="1" applyBorder="1" applyAlignment="1">
      <alignment horizontal="center"/>
    </xf>
    <xf numFmtId="3" fontId="57" fillId="28" borderId="16" xfId="0" applyNumberFormat="1" applyFont="1" applyFill="1" applyBorder="1" applyAlignment="1">
      <alignment horizontal="center"/>
    </xf>
    <xf numFmtId="17" fontId="41" fillId="27" borderId="14" xfId="0" applyNumberFormat="1" applyFont="1" applyFill="1" applyBorder="1" applyAlignment="1">
      <alignment horizontal="right"/>
    </xf>
    <xf numFmtId="17" fontId="41" fillId="27" borderId="14" xfId="0" applyNumberFormat="1" applyFont="1" applyFill="1" applyBorder="1"/>
    <xf numFmtId="0" fontId="2" fillId="2" borderId="6" xfId="0" applyFont="1" applyFill="1" applyBorder="1"/>
    <xf numFmtId="17" fontId="2" fillId="2" borderId="7" xfId="0" applyNumberFormat="1" applyFont="1" applyFill="1" applyBorder="1"/>
    <xf numFmtId="17" fontId="2" fillId="2" borderId="40" xfId="0" applyNumberFormat="1" applyFont="1" applyFill="1" applyBorder="1"/>
    <xf numFmtId="17" fontId="59" fillId="0" borderId="0" xfId="0" applyNumberFormat="1" applyFont="1"/>
    <xf numFmtId="1" fontId="0" fillId="0" borderId="25" xfId="0" applyNumberFormat="1" applyBorder="1" applyAlignment="1">
      <alignment horizontal="right" indent="1"/>
    </xf>
    <xf numFmtId="1" fontId="0" fillId="0" borderId="0" xfId="0" applyNumberFormat="1" applyAlignment="1">
      <alignment horizontal="right" indent="1"/>
    </xf>
    <xf numFmtId="1" fontId="13" fillId="0" borderId="0" xfId="0" applyNumberFormat="1" applyFont="1" applyAlignment="1">
      <alignment horizontal="right" indent="1"/>
    </xf>
    <xf numFmtId="1" fontId="0" fillId="0" borderId="36" xfId="0" applyNumberFormat="1" applyBorder="1" applyAlignment="1">
      <alignment horizontal="right" indent="1"/>
    </xf>
    <xf numFmtId="0" fontId="59" fillId="0" borderId="0" xfId="0" applyFont="1"/>
    <xf numFmtId="1" fontId="0" fillId="23" borderId="25" xfId="0" applyNumberFormat="1" applyFill="1" applyBorder="1" applyAlignment="1">
      <alignment horizontal="right" indent="1"/>
    </xf>
    <xf numFmtId="1" fontId="0" fillId="23" borderId="0" xfId="0" applyNumberFormat="1" applyFill="1" applyAlignment="1">
      <alignment horizontal="right" indent="1"/>
    </xf>
    <xf numFmtId="1" fontId="13" fillId="23" borderId="0" xfId="0" applyNumberFormat="1" applyFont="1" applyFill="1" applyAlignment="1">
      <alignment horizontal="right" indent="1"/>
    </xf>
    <xf numFmtId="1" fontId="0" fillId="23" borderId="36" xfId="0" applyNumberFormat="1" applyFill="1" applyBorder="1" applyAlignment="1">
      <alignment horizontal="right" indent="1"/>
    </xf>
    <xf numFmtId="0" fontId="2" fillId="2" borderId="52" xfId="0" applyFont="1" applyFill="1" applyBorder="1"/>
    <xf numFmtId="1" fontId="4" fillId="24" borderId="60" xfId="0" applyNumberFormat="1" applyFont="1" applyFill="1" applyBorder="1" applyAlignment="1">
      <alignment horizontal="right" indent="1"/>
    </xf>
    <xf numFmtId="1" fontId="4" fillId="24" borderId="47" xfId="0" applyNumberFormat="1" applyFont="1" applyFill="1" applyBorder="1" applyAlignment="1">
      <alignment horizontal="right" indent="1"/>
    </xf>
    <xf numFmtId="1" fontId="15" fillId="24" borderId="47" xfId="0" applyNumberFormat="1" applyFont="1" applyFill="1" applyBorder="1" applyAlignment="1">
      <alignment horizontal="right" indent="1"/>
    </xf>
    <xf numFmtId="1" fontId="4" fillId="24" borderId="48" xfId="0" applyNumberFormat="1" applyFont="1" applyFill="1" applyBorder="1" applyAlignment="1">
      <alignment horizontal="right" indent="1"/>
    </xf>
    <xf numFmtId="0" fontId="60" fillId="0" borderId="0" xfId="0" applyFont="1"/>
    <xf numFmtId="1" fontId="61" fillId="0" borderId="0" xfId="0" applyNumberFormat="1" applyFont="1" applyAlignment="1">
      <alignment horizontal="right" indent="1"/>
    </xf>
    <xf numFmtId="0" fontId="61" fillId="0" borderId="0" xfId="0" applyFont="1"/>
    <xf numFmtId="0" fontId="62" fillId="0" borderId="0" xfId="0" applyFont="1" applyAlignment="1">
      <alignment vertical="center"/>
    </xf>
    <xf numFmtId="0" fontId="63" fillId="0" borderId="0" xfId="0" applyFont="1"/>
    <xf numFmtId="0" fontId="0" fillId="0" borderId="0" xfId="0" applyAlignment="1">
      <alignment vertical="center"/>
    </xf>
    <xf numFmtId="0" fontId="64" fillId="0" borderId="0" xfId="0" applyFont="1"/>
    <xf numFmtId="17" fontId="2" fillId="0" borderId="0" xfId="0" applyNumberFormat="1" applyFont="1"/>
    <xf numFmtId="0" fontId="65" fillId="0" borderId="0" xfId="0" applyFont="1" applyAlignment="1">
      <alignment vertical="center"/>
    </xf>
    <xf numFmtId="0" fontId="66" fillId="0" borderId="0" xfId="8" applyFont="1" applyAlignment="1">
      <alignment horizontal="right" wrapText="1" indent="1"/>
    </xf>
    <xf numFmtId="0" fontId="0" fillId="0" borderId="0" xfId="0" applyAlignment="1">
      <alignment horizontal="right" indent="1"/>
    </xf>
    <xf numFmtId="0" fontId="66" fillId="0" borderId="0" xfId="9" applyFont="1" applyAlignment="1">
      <alignment horizontal="right" wrapText="1" indent="1"/>
    </xf>
    <xf numFmtId="0" fontId="66" fillId="0" borderId="0" xfId="10" applyFont="1" applyAlignment="1">
      <alignment horizontal="right" wrapText="1" indent="1"/>
    </xf>
    <xf numFmtId="0" fontId="67" fillId="0" borderId="0" xfId="0" applyFont="1" applyAlignment="1">
      <alignment horizontal="center" vertical="center"/>
    </xf>
    <xf numFmtId="0" fontId="67" fillId="0" borderId="0" xfId="0" applyFont="1"/>
    <xf numFmtId="0" fontId="67" fillId="0" borderId="0" xfId="0" applyFont="1" applyAlignment="1">
      <alignment horizontal="center"/>
    </xf>
    <xf numFmtId="0" fontId="43" fillId="0" borderId="0" xfId="0" applyFont="1" applyAlignment="1">
      <alignment horizontal="center" vertical="center"/>
    </xf>
    <xf numFmtId="0" fontId="43" fillId="0" borderId="0" xfId="0" applyFont="1" applyAlignment="1">
      <alignment horizontal="center"/>
    </xf>
    <xf numFmtId="179" fontId="26" fillId="0" borderId="0" xfId="0" applyNumberFormat="1" applyFont="1"/>
    <xf numFmtId="0" fontId="2" fillId="14" borderId="17" xfId="0" applyFont="1" applyFill="1" applyBorder="1" applyAlignment="1">
      <alignment horizontal="right"/>
    </xf>
    <xf numFmtId="0" fontId="2" fillId="14" borderId="4" xfId="0" applyFont="1" applyFill="1" applyBorder="1" applyAlignment="1">
      <alignment horizontal="right"/>
    </xf>
    <xf numFmtId="0" fontId="2" fillId="14" borderId="29" xfId="0" applyFont="1" applyFill="1" applyBorder="1" applyAlignment="1">
      <alignment horizontal="center" vertical="center" wrapText="1"/>
    </xf>
    <xf numFmtId="0" fontId="2" fillId="14" borderId="62" xfId="0" applyFont="1" applyFill="1" applyBorder="1" applyAlignment="1">
      <alignment horizontal="center" vertical="center" wrapText="1"/>
    </xf>
    <xf numFmtId="0" fontId="2" fillId="14" borderId="59" xfId="0" applyFont="1" applyFill="1" applyBorder="1" applyAlignment="1">
      <alignment horizontal="center" vertical="center" wrapText="1"/>
    </xf>
    <xf numFmtId="1" fontId="13" fillId="0" borderId="4" xfId="0" applyNumberFormat="1" applyFont="1" applyBorder="1" applyAlignment="1">
      <alignment horizontal="center" vertical="top"/>
    </xf>
    <xf numFmtId="1" fontId="13" fillId="0" borderId="25" xfId="0" applyNumberFormat="1" applyFont="1" applyBorder="1" applyAlignment="1">
      <alignment horizontal="center" vertical="top"/>
    </xf>
    <xf numFmtId="1" fontId="13" fillId="0" borderId="12" xfId="0" applyNumberFormat="1" applyFont="1" applyBorder="1" applyAlignment="1">
      <alignment horizontal="center" vertical="top"/>
    </xf>
    <xf numFmtId="1" fontId="13" fillId="0" borderId="10" xfId="0" applyNumberFormat="1" applyFont="1" applyBorder="1" applyAlignment="1">
      <alignment horizontal="center" vertical="top"/>
    </xf>
    <xf numFmtId="1" fontId="13" fillId="0" borderId="11" xfId="0" applyNumberFormat="1" applyFont="1" applyBorder="1" applyAlignment="1">
      <alignment horizontal="center" vertical="top"/>
    </xf>
    <xf numFmtId="1" fontId="13" fillId="0" borderId="27" xfId="0" applyNumberFormat="1" applyFont="1" applyBorder="1" applyAlignment="1">
      <alignment horizontal="center" vertical="top"/>
    </xf>
    <xf numFmtId="1" fontId="13" fillId="0" borderId="4" xfId="2" applyNumberFormat="1" applyFont="1" applyBorder="1" applyAlignment="1" applyProtection="1">
      <alignment horizontal="center" vertical="top"/>
    </xf>
    <xf numFmtId="1" fontId="13" fillId="0" borderId="25" xfId="2" applyNumberFormat="1" applyFont="1" applyBorder="1" applyAlignment="1" applyProtection="1">
      <alignment horizontal="center" vertical="top"/>
    </xf>
    <xf numFmtId="1" fontId="13" fillId="0" borderId="11" xfId="2" applyNumberFormat="1" applyFont="1" applyBorder="1" applyAlignment="1" applyProtection="1">
      <alignment horizontal="center" vertical="top"/>
    </xf>
    <xf numFmtId="1" fontId="13" fillId="15" borderId="4" xfId="0" applyNumberFormat="1" applyFont="1" applyFill="1" applyBorder="1" applyAlignment="1">
      <alignment horizontal="center" vertical="top"/>
    </xf>
    <xf numFmtId="1" fontId="13" fillId="15" borderId="25" xfId="0" applyNumberFormat="1" applyFont="1" applyFill="1" applyBorder="1" applyAlignment="1">
      <alignment horizontal="center" vertical="top"/>
    </xf>
    <xf numFmtId="1" fontId="13" fillId="15" borderId="12" xfId="0" applyNumberFormat="1" applyFont="1" applyFill="1" applyBorder="1" applyAlignment="1">
      <alignment horizontal="center" vertical="top"/>
    </xf>
    <xf numFmtId="1" fontId="13" fillId="15" borderId="10" xfId="0" applyNumberFormat="1" applyFont="1" applyFill="1" applyBorder="1" applyAlignment="1">
      <alignment horizontal="center" vertical="top"/>
    </xf>
    <xf numFmtId="1" fontId="13" fillId="15" borderId="11" xfId="0" applyNumberFormat="1" applyFont="1" applyFill="1" applyBorder="1" applyAlignment="1">
      <alignment horizontal="center" vertical="top"/>
    </xf>
    <xf numFmtId="1" fontId="13" fillId="15" borderId="4" xfId="2" applyNumberFormat="1" applyFont="1" applyFill="1" applyBorder="1" applyAlignment="1" applyProtection="1">
      <alignment horizontal="center" vertical="top"/>
    </xf>
    <xf numFmtId="1" fontId="13" fillId="15" borderId="25" xfId="2" applyNumberFormat="1" applyFont="1" applyFill="1" applyBorder="1" applyAlignment="1" applyProtection="1">
      <alignment horizontal="center" vertical="top"/>
    </xf>
    <xf numFmtId="1" fontId="13" fillId="15" borderId="11" xfId="2" applyNumberFormat="1" applyFont="1" applyFill="1" applyBorder="1" applyAlignment="1" applyProtection="1">
      <alignment horizontal="center" vertical="top"/>
    </xf>
    <xf numFmtId="1" fontId="13" fillId="15" borderId="41" xfId="0" applyNumberFormat="1" applyFont="1" applyFill="1" applyBorder="1" applyAlignment="1">
      <alignment horizontal="center" vertical="top"/>
    </xf>
    <xf numFmtId="1" fontId="13" fillId="15" borderId="34" xfId="0" applyNumberFormat="1" applyFont="1" applyFill="1" applyBorder="1" applyAlignment="1">
      <alignment horizontal="center" vertical="top"/>
    </xf>
    <xf numFmtId="1" fontId="13" fillId="15" borderId="14" xfId="0" applyNumberFormat="1" applyFont="1" applyFill="1" applyBorder="1" applyAlignment="1">
      <alignment horizontal="center" vertical="top"/>
    </xf>
    <xf numFmtId="1" fontId="13" fillId="15" borderId="15" xfId="0" applyNumberFormat="1" applyFont="1" applyFill="1" applyBorder="1" applyAlignment="1">
      <alignment horizontal="center" vertical="top"/>
    </xf>
    <xf numFmtId="1" fontId="13" fillId="15" borderId="16" xfId="0" applyNumberFormat="1" applyFont="1" applyFill="1" applyBorder="1" applyAlignment="1">
      <alignment horizontal="center" vertical="top"/>
    </xf>
    <xf numFmtId="1" fontId="13" fillId="15" borderId="41" xfId="2" applyNumberFormat="1" applyFont="1" applyFill="1" applyBorder="1" applyAlignment="1" applyProtection="1">
      <alignment horizontal="center" vertical="top"/>
    </xf>
    <xf numFmtId="1" fontId="13" fillId="15" borderId="34" xfId="2" applyNumberFormat="1" applyFont="1" applyFill="1" applyBorder="1" applyAlignment="1" applyProtection="1">
      <alignment horizontal="center" vertical="top"/>
    </xf>
    <xf numFmtId="1" fontId="13" fillId="15" borderId="16" xfId="2" applyNumberFormat="1" applyFont="1" applyFill="1" applyBorder="1" applyAlignment="1" applyProtection="1">
      <alignment horizontal="center" vertical="top"/>
    </xf>
    <xf numFmtId="0" fontId="39" fillId="0" borderId="0" xfId="0" applyFont="1"/>
    <xf numFmtId="0" fontId="13" fillId="0" borderId="0" xfId="0" applyFont="1" applyAlignment="1">
      <alignment horizontal="right"/>
    </xf>
    <xf numFmtId="0" fontId="68" fillId="0" borderId="0" xfId="0" applyFont="1"/>
    <xf numFmtId="1" fontId="2" fillId="6" borderId="19" xfId="0" applyNumberFormat="1" applyFont="1" applyFill="1" applyBorder="1" applyAlignment="1">
      <alignment horizontal="center"/>
    </xf>
    <xf numFmtId="1" fontId="2" fillId="6" borderId="20" xfId="0" applyNumberFormat="1" applyFont="1" applyFill="1" applyBorder="1" applyAlignment="1">
      <alignment horizontal="center"/>
    </xf>
    <xf numFmtId="170" fontId="2" fillId="6" borderId="20" xfId="0" applyNumberFormat="1" applyFont="1" applyFill="1" applyBorder="1" applyAlignment="1">
      <alignment horizontal="center"/>
    </xf>
    <xf numFmtId="170" fontId="2" fillId="6" borderId="24" xfId="0" applyNumberFormat="1" applyFont="1" applyFill="1" applyBorder="1" applyAlignment="1">
      <alignment horizontal="center"/>
    </xf>
    <xf numFmtId="3" fontId="13" fillId="0" borderId="0" xfId="0" applyNumberFormat="1" applyFont="1" applyAlignment="1">
      <alignment horizontal="center"/>
    </xf>
    <xf numFmtId="3" fontId="0" fillId="0" borderId="36" xfId="0" applyNumberFormat="1" applyBorder="1" applyAlignment="1">
      <alignment horizontal="center"/>
    </xf>
    <xf numFmtId="3" fontId="13" fillId="8" borderId="0" xfId="0" applyNumberFormat="1" applyFont="1" applyFill="1" applyAlignment="1">
      <alignment horizontal="center"/>
    </xf>
    <xf numFmtId="3" fontId="0" fillId="8" borderId="0" xfId="0" applyNumberFormat="1" applyFill="1" applyAlignment="1">
      <alignment horizontal="center"/>
    </xf>
    <xf numFmtId="3" fontId="0" fillId="8" borderId="36" xfId="0" applyNumberFormat="1" applyFill="1" applyBorder="1" applyAlignment="1">
      <alignment horizontal="center"/>
    </xf>
    <xf numFmtId="3" fontId="0" fillId="0" borderId="35" xfId="0" applyNumberFormat="1" applyBorder="1" applyAlignment="1">
      <alignment horizontal="center"/>
    </xf>
    <xf numFmtId="9" fontId="1" fillId="0" borderId="36" xfId="2" applyFont="1" applyFill="1" applyBorder="1" applyAlignment="1" applyProtection="1">
      <alignment horizontal="center"/>
    </xf>
    <xf numFmtId="1" fontId="2" fillId="6" borderId="41" xfId="0" applyNumberFormat="1" applyFont="1" applyFill="1" applyBorder="1"/>
    <xf numFmtId="9" fontId="1" fillId="0" borderId="37" xfId="2" applyFont="1" applyFill="1" applyBorder="1" applyAlignment="1" applyProtection="1">
      <alignment horizontal="center"/>
    </xf>
    <xf numFmtId="3" fontId="13" fillId="0" borderId="36" xfId="0" applyNumberFormat="1" applyFont="1" applyBorder="1" applyAlignment="1">
      <alignment horizontal="center"/>
    </xf>
    <xf numFmtId="3" fontId="13" fillId="8" borderId="36" xfId="0" applyNumberFormat="1" applyFont="1" applyFill="1" applyBorder="1" applyAlignment="1">
      <alignment horizontal="center"/>
    </xf>
    <xf numFmtId="9" fontId="0" fillId="0" borderId="37" xfId="2" applyFont="1" applyFill="1" applyBorder="1" applyAlignment="1">
      <alignment horizontal="center"/>
    </xf>
    <xf numFmtId="1" fontId="13" fillId="0" borderId="10" xfId="0" applyNumberFormat="1" applyFont="1" applyBorder="1" applyAlignment="1">
      <alignment horizontal="center" vertical="center"/>
    </xf>
    <xf numFmtId="4" fontId="15" fillId="4" borderId="44" xfId="0" applyNumberFormat="1" applyFont="1" applyFill="1" applyBorder="1" applyAlignment="1">
      <alignment horizontal="center"/>
    </xf>
    <xf numFmtId="0" fontId="9" fillId="2" borderId="1" xfId="0" applyFont="1" applyFill="1" applyBorder="1" applyAlignment="1">
      <alignment horizontal="center"/>
    </xf>
    <xf numFmtId="0" fontId="9" fillId="2" borderId="2" xfId="0" applyFont="1" applyFill="1" applyBorder="1" applyAlignment="1">
      <alignment horizontal="center"/>
    </xf>
    <xf numFmtId="0" fontId="9" fillId="2" borderId="3" xfId="0" applyFont="1" applyFill="1" applyBorder="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3" xfId="0" applyFont="1" applyBorder="1" applyAlignment="1">
      <alignment horizontal="center"/>
    </xf>
    <xf numFmtId="0" fontId="11" fillId="0" borderId="0" xfId="0" applyFont="1" applyAlignment="1">
      <alignment horizontal="center" vertical="top"/>
    </xf>
    <xf numFmtId="0" fontId="0" fillId="4" borderId="2" xfId="0" applyFill="1" applyBorder="1" applyAlignment="1">
      <alignment horizontal="center"/>
    </xf>
    <xf numFmtId="0" fontId="0" fillId="4" borderId="3" xfId="0" applyFill="1" applyBorder="1" applyAlignment="1">
      <alignment horizontal="center"/>
    </xf>
    <xf numFmtId="0" fontId="12" fillId="5" borderId="4" xfId="0" applyFont="1" applyFill="1" applyBorder="1" applyAlignment="1">
      <alignment horizontal="left"/>
    </xf>
    <xf numFmtId="0" fontId="12" fillId="5" borderId="0" xfId="0" applyFont="1" applyFill="1" applyAlignment="1">
      <alignment horizontal="left"/>
    </xf>
    <xf numFmtId="0" fontId="4" fillId="0" borderId="0" xfId="0" applyFont="1" applyAlignment="1">
      <alignment horizontal="center" vertical="center"/>
    </xf>
    <xf numFmtId="0" fontId="4" fillId="0" borderId="5" xfId="0" applyFont="1" applyBorder="1" applyAlignment="1">
      <alignment horizontal="center" vertical="center"/>
    </xf>
    <xf numFmtId="1" fontId="15" fillId="0" borderId="0" xfId="0" applyNumberFormat="1" applyFont="1" applyAlignment="1">
      <alignment horizontal="center" vertical="center"/>
    </xf>
    <xf numFmtId="1" fontId="2" fillId="6" borderId="19" xfId="0" applyNumberFormat="1" applyFont="1" applyFill="1" applyBorder="1" applyAlignment="1">
      <alignment horizontal="center"/>
    </xf>
    <xf numFmtId="1" fontId="2" fillId="6" borderId="20" xfId="0" applyNumberFormat="1" applyFont="1" applyFill="1" applyBorder="1" applyAlignment="1">
      <alignment horizontal="center"/>
    </xf>
    <xf numFmtId="1" fontId="2" fillId="0" borderId="0" xfId="0" applyNumberFormat="1" applyFont="1" applyAlignment="1">
      <alignment horizontal="center" vertical="center"/>
    </xf>
    <xf numFmtId="1" fontId="2" fillId="6" borderId="17" xfId="0" applyNumberFormat="1" applyFont="1" applyFill="1" applyBorder="1" applyAlignment="1">
      <alignment horizontal="center" vertical="center"/>
    </xf>
    <xf numFmtId="1" fontId="2" fillId="6" borderId="29" xfId="0" applyNumberFormat="1" applyFont="1" applyFill="1" applyBorder="1" applyAlignment="1">
      <alignment horizontal="center" vertical="center"/>
    </xf>
    <xf numFmtId="0" fontId="2" fillId="14" borderId="6" xfId="5" applyFont="1" applyFill="1" applyBorder="1" applyAlignment="1">
      <alignment horizontal="center" vertical="center" wrapText="1"/>
    </xf>
    <xf numFmtId="0" fontId="2" fillId="14" borderId="38" xfId="5" applyFont="1" applyFill="1" applyBorder="1" applyAlignment="1">
      <alignment horizontal="center" vertical="center" wrapText="1"/>
    </xf>
    <xf numFmtId="0" fontId="2" fillId="14" borderId="40" xfId="5" applyFont="1" applyFill="1" applyBorder="1" applyAlignment="1">
      <alignment horizontal="center" vertical="center" wrapText="1"/>
    </xf>
    <xf numFmtId="0" fontId="15" fillId="0" borderId="0" xfId="0" applyFont="1" applyAlignment="1">
      <alignment horizontal="center" vertical="top"/>
    </xf>
    <xf numFmtId="0" fontId="4" fillId="0" borderId="5" xfId="0" applyFont="1" applyBorder="1" applyAlignment="1">
      <alignment horizontal="center"/>
    </xf>
    <xf numFmtId="0" fontId="15" fillId="0" borderId="5" xfId="7" applyFont="1" applyBorder="1" applyAlignment="1">
      <alignment horizontal="center"/>
    </xf>
    <xf numFmtId="0" fontId="2" fillId="0" borderId="0" xfId="7" applyFont="1" applyAlignment="1">
      <alignment horizontal="center"/>
    </xf>
    <xf numFmtId="0" fontId="4" fillId="0" borderId="0" xfId="0" applyFont="1" applyAlignment="1">
      <alignment horizontal="center"/>
    </xf>
    <xf numFmtId="1" fontId="4" fillId="0" borderId="0" xfId="0" applyNumberFormat="1" applyFont="1" applyAlignment="1">
      <alignment horizontal="center" vertical="center"/>
    </xf>
    <xf numFmtId="1" fontId="2" fillId="3" borderId="19" xfId="0" applyNumberFormat="1" applyFont="1" applyFill="1" applyBorder="1" applyAlignment="1">
      <alignment horizontal="center"/>
    </xf>
    <xf numFmtId="1" fontId="2" fillId="3" borderId="20" xfId="0" applyNumberFormat="1" applyFont="1" applyFill="1" applyBorder="1" applyAlignment="1">
      <alignment horizontal="center"/>
    </xf>
    <xf numFmtId="0" fontId="39" fillId="0" borderId="0" xfId="0" applyFont="1" applyAlignment="1">
      <alignment horizontal="left" vertical="top" wrapText="1"/>
    </xf>
    <xf numFmtId="1" fontId="2" fillId="3" borderId="17" xfId="0" applyNumberFormat="1" applyFont="1" applyFill="1" applyBorder="1" applyAlignment="1">
      <alignment horizontal="center" vertical="center"/>
    </xf>
    <xf numFmtId="1" fontId="2" fillId="3" borderId="29" xfId="0" applyNumberFormat="1" applyFont="1" applyFill="1" applyBorder="1" applyAlignment="1">
      <alignment horizontal="center" vertical="center"/>
    </xf>
    <xf numFmtId="171" fontId="2" fillId="3" borderId="19" xfId="0" applyNumberFormat="1" applyFont="1" applyFill="1" applyBorder="1" applyAlignment="1">
      <alignment horizontal="center"/>
    </xf>
    <xf numFmtId="171" fontId="2" fillId="3" borderId="20" xfId="0" applyNumberFormat="1" applyFont="1" applyFill="1" applyBorder="1" applyAlignment="1">
      <alignment horizontal="center"/>
    </xf>
    <xf numFmtId="0" fontId="11" fillId="0" borderId="0" xfId="0" applyFont="1" applyAlignment="1">
      <alignment horizontal="center" vertical="center"/>
    </xf>
    <xf numFmtId="0" fontId="13" fillId="0" borderId="0" xfId="0" applyFont="1" applyAlignment="1">
      <alignment horizontal="center" wrapText="1"/>
    </xf>
    <xf numFmtId="0" fontId="38" fillId="22" borderId="52" xfId="0" applyFont="1" applyFill="1" applyBorder="1" applyAlignment="1">
      <alignment horizontal="right" vertical="center" indent="1"/>
    </xf>
    <xf numFmtId="0" fontId="38" fillId="22" borderId="47" xfId="0" applyFont="1" applyFill="1" applyBorder="1" applyAlignment="1">
      <alignment horizontal="right" vertical="center" indent="1"/>
    </xf>
    <xf numFmtId="0" fontId="38" fillId="22" borderId="63" xfId="0" applyFont="1" applyFill="1" applyBorder="1" applyAlignment="1">
      <alignment horizontal="right" vertical="center" indent="1"/>
    </xf>
    <xf numFmtId="0" fontId="4" fillId="24" borderId="54" xfId="0" applyFont="1" applyFill="1" applyBorder="1" applyAlignment="1">
      <alignment horizontal="right"/>
    </xf>
    <xf numFmtId="0" fontId="4" fillId="24" borderId="55" xfId="0" applyFont="1" applyFill="1" applyBorder="1" applyAlignment="1">
      <alignment horizontal="right"/>
    </xf>
    <xf numFmtId="0" fontId="4" fillId="24" borderId="56" xfId="0" applyFont="1" applyFill="1" applyBorder="1" applyAlignment="1">
      <alignment horizontal="right"/>
    </xf>
    <xf numFmtId="0" fontId="15" fillId="0" borderId="5" xfId="0" applyFont="1" applyBorder="1" applyAlignment="1">
      <alignment horizontal="center" vertical="center"/>
    </xf>
    <xf numFmtId="0" fontId="56" fillId="0" borderId="5" xfId="0" applyFont="1" applyBorder="1" applyAlignment="1">
      <alignment horizontal="center"/>
    </xf>
  </cellXfs>
  <cellStyles count="11">
    <cellStyle name="20 % - Accent6" xfId="4" xr:uid="{0C3B5136-28F5-424E-AD5C-F934E93DAA66}"/>
    <cellStyle name="Comma" xfId="1" builtinId="3"/>
    <cellStyle name="Hyperlink" xfId="3" builtinId="8"/>
    <cellStyle name="Normal" xfId="0" builtinId="0"/>
    <cellStyle name="Normal 13 11" xfId="7" xr:uid="{C170B77B-71DA-42AE-A959-98A0B4B8D304}"/>
    <cellStyle name="Normal 278" xfId="5" xr:uid="{09AA6A73-FDD4-45B1-9669-60B991487494}"/>
    <cellStyle name="Normal 4 10" xfId="6" xr:uid="{A70FA6F9-DAC5-4C64-B3DB-9FCBCF743962}"/>
    <cellStyle name="Normal_Offshore hours" xfId="9" xr:uid="{A6F52A70-A673-41B6-B7B2-1E61913E5BAF}"/>
    <cellStyle name="Normal_Offshore hours_1" xfId="10" xr:uid="{1116374D-E6EF-4069-AE03-3AF7C4AE2E68}"/>
    <cellStyle name="Normal_Sheet1_1" xfId="8" xr:uid="{790F6620-C454-4D43-B3D4-1C74F9FCCBBB}"/>
    <cellStyle name="Percent" xfId="2" builtinId="5"/>
  </cellStyles>
  <dxfs count="9">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3.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4.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12.xml"/><Relationship Id="rId1" Type="http://schemas.microsoft.com/office/2011/relationships/chartStyle" Target="style12.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13.xml"/><Relationship Id="rId1" Type="http://schemas.microsoft.com/office/2011/relationships/chartStyle" Target="style13.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4.xml"/><Relationship Id="rId1" Type="http://schemas.microsoft.com/office/2011/relationships/chartStyle" Target="style14.xml"/></Relationships>
</file>

<file path=xl/charts/_rels/chart23.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4.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r>
              <a:rPr lang="en-AU" sz="1300"/>
              <a:t>Mining Economic Impact</a:t>
            </a:r>
          </a:p>
          <a:p>
            <a:pPr>
              <a:defRPr/>
            </a:pPr>
            <a:r>
              <a:rPr lang="en-AU" sz="900"/>
              <a:t>Last 10 Financial Years</a:t>
            </a:r>
          </a:p>
        </c:rich>
      </c:tx>
      <c:layout>
        <c:manualLayout>
          <c:xMode val="edge"/>
          <c:yMode val="edge"/>
          <c:x val="0.40950356036972341"/>
          <c:y val="3.1967474653903559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n-US"/>
        </a:p>
      </c:txPr>
    </c:title>
    <c:autoTitleDeleted val="0"/>
    <c:plotArea>
      <c:layout>
        <c:manualLayout>
          <c:layoutTarget val="inner"/>
          <c:xMode val="edge"/>
          <c:yMode val="edge"/>
          <c:x val="0.14541715441395023"/>
          <c:y val="0.24957808539457194"/>
          <c:w val="0.76685710402704521"/>
          <c:h val="0.52199250254317786"/>
        </c:manualLayout>
      </c:layout>
      <c:barChart>
        <c:barDir val="col"/>
        <c:grouping val="stacked"/>
        <c:varyColors val="0"/>
        <c:ser>
          <c:idx val="1"/>
          <c:order val="0"/>
          <c:tx>
            <c:v>Western Australia</c:v>
          </c:tx>
          <c:spPr>
            <a:solidFill>
              <a:schemeClr val="accent1"/>
            </a:solidFill>
            <a:ln>
              <a:noFill/>
            </a:ln>
            <a:effectLst/>
          </c:spPr>
          <c:invertIfNegative val="0"/>
          <c:dPt>
            <c:idx val="9"/>
            <c:invertIfNegative val="0"/>
            <c:bubble3D val="0"/>
            <c:spPr>
              <a:solidFill>
                <a:schemeClr val="accent1"/>
              </a:solidFill>
              <a:ln>
                <a:noFill/>
              </a:ln>
              <a:effectLst/>
            </c:spPr>
            <c:extLst>
              <c:ext xmlns:c16="http://schemas.microsoft.com/office/drawing/2014/chart" uri="{C3380CC4-5D6E-409C-BE32-E72D297353CC}">
                <c16:uniqueId val="{00000001-D928-4375-9A69-99CC99202EEE}"/>
              </c:ext>
            </c:extLst>
          </c:dPt>
          <c:cat>
            <c:strRef>
              <c:f>'Mining Economic Impact'!$L$8:$L$17</c:f>
              <c:strCache>
                <c:ptCount val="10"/>
                <c:pt idx="0">
                  <c:v>2013-14</c:v>
                </c:pt>
                <c:pt idx="1">
                  <c:v>2014-15</c:v>
                </c:pt>
                <c:pt idx="2">
                  <c:v>2015-16</c:v>
                </c:pt>
                <c:pt idx="3">
                  <c:v>2016-17</c:v>
                </c:pt>
                <c:pt idx="4">
                  <c:v>2017-18</c:v>
                </c:pt>
                <c:pt idx="5">
                  <c:v>2018-19</c:v>
                </c:pt>
                <c:pt idx="6">
                  <c:v>2019-20</c:v>
                </c:pt>
                <c:pt idx="7">
                  <c:v>2020-21</c:v>
                </c:pt>
                <c:pt idx="8">
                  <c:v>2021-22</c:v>
                </c:pt>
                <c:pt idx="9">
                  <c:v>2022-23</c:v>
                </c:pt>
              </c:strCache>
            </c:strRef>
          </c:cat>
          <c:val>
            <c:numRef>
              <c:f>'Mining Economic Impact'!$M$8:$M$17</c:f>
              <c:numCache>
                <c:formatCode>#,##0</c:formatCode>
                <c:ptCount val="10"/>
                <c:pt idx="0">
                  <c:v>89765</c:v>
                </c:pt>
                <c:pt idx="1">
                  <c:v>67719</c:v>
                </c:pt>
                <c:pt idx="2">
                  <c:v>57155</c:v>
                </c:pt>
                <c:pt idx="3">
                  <c:v>71964</c:v>
                </c:pt>
                <c:pt idx="4">
                  <c:v>77779</c:v>
                </c:pt>
                <c:pt idx="5">
                  <c:v>107227</c:v>
                </c:pt>
                <c:pt idx="6">
                  <c:v>130634</c:v>
                </c:pt>
                <c:pt idx="7">
                  <c:v>172106</c:v>
                </c:pt>
                <c:pt idx="8">
                  <c:v>185662</c:v>
                </c:pt>
                <c:pt idx="9">
                  <c:v>200022</c:v>
                </c:pt>
              </c:numCache>
            </c:numRef>
          </c:val>
          <c:extLst>
            <c:ext xmlns:c16="http://schemas.microsoft.com/office/drawing/2014/chart" uri="{C3380CC4-5D6E-409C-BE32-E72D297353CC}">
              <c16:uniqueId val="{00000002-D928-4375-9A69-99CC99202EEE}"/>
            </c:ext>
          </c:extLst>
        </c:ser>
        <c:ser>
          <c:idx val="2"/>
          <c:order val="1"/>
          <c:tx>
            <c:v>Rest of Australia</c:v>
          </c:tx>
          <c:spPr>
            <a:solidFill>
              <a:schemeClr val="accent1">
                <a:tint val="65000"/>
              </a:schemeClr>
            </a:solidFill>
            <a:ln>
              <a:noFill/>
            </a:ln>
            <a:effectLst/>
          </c:spPr>
          <c:invertIfNegative val="0"/>
          <c:dPt>
            <c:idx val="9"/>
            <c:invertIfNegative val="0"/>
            <c:bubble3D val="0"/>
            <c:spPr>
              <a:solidFill>
                <a:schemeClr val="accent1">
                  <a:tint val="65000"/>
                </a:schemeClr>
              </a:solidFill>
              <a:ln>
                <a:noFill/>
              </a:ln>
              <a:effectLst/>
            </c:spPr>
            <c:extLst>
              <c:ext xmlns:c16="http://schemas.microsoft.com/office/drawing/2014/chart" uri="{C3380CC4-5D6E-409C-BE32-E72D297353CC}">
                <c16:uniqueId val="{00000004-D928-4375-9A69-99CC99202EEE}"/>
              </c:ext>
            </c:extLst>
          </c:dPt>
          <c:cat>
            <c:strRef>
              <c:f>'Mining Economic Impact'!$L$8:$L$17</c:f>
              <c:strCache>
                <c:ptCount val="10"/>
                <c:pt idx="0">
                  <c:v>2013-14</c:v>
                </c:pt>
                <c:pt idx="1">
                  <c:v>2014-15</c:v>
                </c:pt>
                <c:pt idx="2">
                  <c:v>2015-16</c:v>
                </c:pt>
                <c:pt idx="3">
                  <c:v>2016-17</c:v>
                </c:pt>
                <c:pt idx="4">
                  <c:v>2017-18</c:v>
                </c:pt>
                <c:pt idx="5">
                  <c:v>2018-19</c:v>
                </c:pt>
                <c:pt idx="6">
                  <c:v>2019-20</c:v>
                </c:pt>
                <c:pt idx="7">
                  <c:v>2020-21</c:v>
                </c:pt>
                <c:pt idx="8">
                  <c:v>2021-22</c:v>
                </c:pt>
                <c:pt idx="9">
                  <c:v>2022-23</c:v>
                </c:pt>
              </c:strCache>
            </c:strRef>
          </c:cat>
          <c:val>
            <c:numRef>
              <c:f>'Mining Economic Impact'!$N$8:$N$17</c:f>
              <c:numCache>
                <c:formatCode>#,##0</c:formatCode>
                <c:ptCount val="10"/>
                <c:pt idx="0">
                  <c:v>41898</c:v>
                </c:pt>
                <c:pt idx="1">
                  <c:v>38629</c:v>
                </c:pt>
                <c:pt idx="2">
                  <c:v>38061</c:v>
                </c:pt>
                <c:pt idx="3">
                  <c:v>59910</c:v>
                </c:pt>
                <c:pt idx="4">
                  <c:v>70836</c:v>
                </c:pt>
                <c:pt idx="5">
                  <c:v>82806</c:v>
                </c:pt>
                <c:pt idx="6">
                  <c:v>71235</c:v>
                </c:pt>
                <c:pt idx="7">
                  <c:v>50643</c:v>
                </c:pt>
                <c:pt idx="8">
                  <c:v>129212</c:v>
                </c:pt>
                <c:pt idx="9">
                  <c:v>141854</c:v>
                </c:pt>
              </c:numCache>
            </c:numRef>
          </c:val>
          <c:extLst>
            <c:ext xmlns:c16="http://schemas.microsoft.com/office/drawing/2014/chart" uri="{C3380CC4-5D6E-409C-BE32-E72D297353CC}">
              <c16:uniqueId val="{00000005-D928-4375-9A69-99CC99202EEE}"/>
            </c:ext>
          </c:extLst>
        </c:ser>
        <c:dLbls>
          <c:showLegendKey val="0"/>
          <c:showVal val="0"/>
          <c:showCatName val="0"/>
          <c:showSerName val="0"/>
          <c:showPercent val="0"/>
          <c:showBubbleSize val="0"/>
        </c:dLbls>
        <c:gapWidth val="150"/>
        <c:overlap val="100"/>
        <c:axId val="427180032"/>
        <c:axId val="427181952"/>
      </c:barChart>
      <c:lineChart>
        <c:grouping val="standard"/>
        <c:varyColors val="0"/>
        <c:ser>
          <c:idx val="0"/>
          <c:order val="2"/>
          <c:tx>
            <c:strRef>
              <c:f>'Mining Economic Impact'!$P$7</c:f>
              <c:strCache>
                <c:ptCount val="1"/>
                <c:pt idx="0">
                  <c:v>Western Australia Share of Australia</c:v>
                </c:pt>
              </c:strCache>
            </c:strRef>
          </c:tx>
          <c:spPr>
            <a:ln w="28575" cap="rnd" cmpd="sng" algn="ctr">
              <a:solidFill>
                <a:schemeClr val="accent1">
                  <a:shade val="65000"/>
                  <a:shade val="95000"/>
                  <a:satMod val="105000"/>
                </a:schemeClr>
              </a:solidFill>
              <a:prstDash val="solid"/>
              <a:round/>
            </a:ln>
            <a:effectLst/>
          </c:spPr>
          <c:marker>
            <c:symbol val="none"/>
          </c:marker>
          <c:cat>
            <c:strRef>
              <c:f>'Mining Economic Impact'!$L$8:$L$17</c:f>
              <c:strCache>
                <c:ptCount val="10"/>
                <c:pt idx="0">
                  <c:v>2013-14</c:v>
                </c:pt>
                <c:pt idx="1">
                  <c:v>2014-15</c:v>
                </c:pt>
                <c:pt idx="2">
                  <c:v>2015-16</c:v>
                </c:pt>
                <c:pt idx="3">
                  <c:v>2016-17</c:v>
                </c:pt>
                <c:pt idx="4">
                  <c:v>2017-18</c:v>
                </c:pt>
                <c:pt idx="5">
                  <c:v>2018-19</c:v>
                </c:pt>
                <c:pt idx="6">
                  <c:v>2019-20</c:v>
                </c:pt>
                <c:pt idx="7">
                  <c:v>2020-21</c:v>
                </c:pt>
                <c:pt idx="8">
                  <c:v>2021-22</c:v>
                </c:pt>
                <c:pt idx="9">
                  <c:v>2022-23</c:v>
                </c:pt>
              </c:strCache>
            </c:strRef>
          </c:cat>
          <c:val>
            <c:numRef>
              <c:f>'Mining Economic Impact'!$P$8:$P$17</c:f>
              <c:numCache>
                <c:formatCode>0%</c:formatCode>
                <c:ptCount val="10"/>
                <c:pt idx="0">
                  <c:v>0.68177847990703544</c:v>
                </c:pt>
                <c:pt idx="1">
                  <c:v>0.63676796930830859</c:v>
                </c:pt>
                <c:pt idx="2">
                  <c:v>0.60026676188875816</c:v>
                </c:pt>
                <c:pt idx="3">
                  <c:v>0.5457027162291278</c:v>
                </c:pt>
                <c:pt idx="4">
                  <c:v>0.52335901490428283</c:v>
                </c:pt>
                <c:pt idx="5">
                  <c:v>0.56425462945909399</c:v>
                </c:pt>
                <c:pt idx="6">
                  <c:v>0.64712263893911393</c:v>
                </c:pt>
                <c:pt idx="7">
                  <c:v>0.77264544397505708</c:v>
                </c:pt>
                <c:pt idx="8">
                  <c:v>0.58963903021526076</c:v>
                </c:pt>
                <c:pt idx="9">
                  <c:v>0.58507178041161123</c:v>
                </c:pt>
              </c:numCache>
            </c:numRef>
          </c:val>
          <c:smooth val="0"/>
          <c:extLst>
            <c:ext xmlns:c16="http://schemas.microsoft.com/office/drawing/2014/chart" uri="{C3380CC4-5D6E-409C-BE32-E72D297353CC}">
              <c16:uniqueId val="{00000006-D928-4375-9A69-99CC99202EEE}"/>
            </c:ext>
          </c:extLst>
        </c:ser>
        <c:dLbls>
          <c:showLegendKey val="0"/>
          <c:showVal val="0"/>
          <c:showCatName val="0"/>
          <c:showSerName val="0"/>
          <c:showPercent val="0"/>
          <c:showBubbleSize val="0"/>
        </c:dLbls>
        <c:marker val="1"/>
        <c:smooth val="0"/>
        <c:axId val="856744784"/>
        <c:axId val="856740944"/>
      </c:lineChart>
      <c:catAx>
        <c:axId val="427180032"/>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r>
                  <a:rPr lang="en-AU" sz="900"/>
                  <a:t>Source: ABS</a:t>
                </a:r>
              </a:p>
            </c:rich>
          </c:tx>
          <c:layout>
            <c:manualLayout>
              <c:xMode val="edge"/>
              <c:yMode val="edge"/>
              <c:x val="9.2280856373997047E-3"/>
              <c:y val="0.9464176411910775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chemeClr val="tx1"/>
                </a:solidFill>
                <a:latin typeface="+mn-lt"/>
                <a:ea typeface="+mn-ea"/>
                <a:cs typeface="+mn-cs"/>
              </a:defRPr>
            </a:pPr>
            <a:endParaRPr lang="en-US"/>
          </a:p>
        </c:txPr>
        <c:crossAx val="427181952"/>
        <c:crosses val="autoZero"/>
        <c:auto val="1"/>
        <c:lblAlgn val="ctr"/>
        <c:lblOffset val="100"/>
        <c:noMultiLvlLbl val="0"/>
      </c:catAx>
      <c:valAx>
        <c:axId val="427181952"/>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AU"/>
                  <a:t>$ million</a:t>
                </a:r>
              </a:p>
            </c:rich>
          </c:tx>
          <c:layout>
            <c:manualLayout>
              <c:xMode val="edge"/>
              <c:yMode val="edge"/>
              <c:x val="3.4343289331155782E-2"/>
              <c:y val="0.45070955874105473"/>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27180032"/>
        <c:crosses val="autoZero"/>
        <c:crossBetween val="between"/>
        <c:majorUnit val="100000"/>
      </c:valAx>
      <c:valAx>
        <c:axId val="856740944"/>
        <c:scaling>
          <c:orientation val="minMax"/>
          <c:max val="1"/>
        </c:scaling>
        <c:delete val="0"/>
        <c:axPos val="r"/>
        <c:numFmt formatCode="0%"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856744784"/>
        <c:crosses val="max"/>
        <c:crossBetween val="between"/>
        <c:majorUnit val="0.25"/>
      </c:valAx>
      <c:catAx>
        <c:axId val="856744784"/>
        <c:scaling>
          <c:orientation val="minMax"/>
        </c:scaling>
        <c:delete val="1"/>
        <c:axPos val="b"/>
        <c:numFmt formatCode="General" sourceLinked="1"/>
        <c:majorTickMark val="out"/>
        <c:minorTickMark val="none"/>
        <c:tickLblPos val="nextTo"/>
        <c:crossAx val="856740944"/>
        <c:crosses val="autoZero"/>
        <c:auto val="1"/>
        <c:lblAlgn val="ctr"/>
        <c:lblOffset val="100"/>
        <c:noMultiLvlLbl val="0"/>
      </c:catAx>
      <c:spPr>
        <a:solidFill>
          <a:schemeClr val="bg1"/>
        </a:solidFill>
        <a:ln>
          <a:noFill/>
        </a:ln>
        <a:effectLst/>
      </c:spPr>
    </c:plotArea>
    <c:legend>
      <c:legendPos val="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strRef>
          <c:f>'Exports 2-years'!$U$7</c:f>
          <c:strCache>
            <c:ptCount val="1"/>
            <c:pt idx="0">
              <c:v>Western Australia Mineral and Petroleum Exports 
2023-24</c:v>
            </c:pt>
          </c:strCache>
        </c:strRef>
      </c:tx>
      <c:layout>
        <c:manualLayout>
          <c:xMode val="edge"/>
          <c:yMode val="edge"/>
          <c:x val="0.18899365257914191"/>
          <c:y val="2.8021556869384217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hade val="45000"/>
                </a:schemeClr>
              </a:solidFill>
              <a:ln w="19050">
                <a:solidFill>
                  <a:schemeClr val="lt1"/>
                </a:solidFill>
              </a:ln>
              <a:effectLst/>
            </c:spPr>
            <c:extLst>
              <c:ext xmlns:c16="http://schemas.microsoft.com/office/drawing/2014/chart" uri="{C3380CC4-5D6E-409C-BE32-E72D297353CC}">
                <c16:uniqueId val="{00000001-7DCE-48D3-9404-9AE597BABC83}"/>
              </c:ext>
            </c:extLst>
          </c:dPt>
          <c:dPt>
            <c:idx val="1"/>
            <c:bubble3D val="0"/>
            <c:spPr>
              <a:solidFill>
                <a:schemeClr val="accent1">
                  <a:shade val="76000"/>
                </a:schemeClr>
              </a:solidFill>
              <a:ln w="19050">
                <a:solidFill>
                  <a:schemeClr val="lt1"/>
                </a:solidFill>
              </a:ln>
              <a:effectLst/>
            </c:spPr>
            <c:extLst>
              <c:ext xmlns:c16="http://schemas.microsoft.com/office/drawing/2014/chart" uri="{C3380CC4-5D6E-409C-BE32-E72D297353CC}">
                <c16:uniqueId val="{00000003-7DCE-48D3-9404-9AE597BABC83}"/>
              </c:ext>
            </c:extLst>
          </c:dPt>
          <c:dPt>
            <c:idx val="2"/>
            <c:bubble3D val="0"/>
            <c:spPr>
              <a:solidFill>
                <a:schemeClr val="accent1">
                  <a:shade val="92000"/>
                </a:schemeClr>
              </a:solidFill>
              <a:ln w="19050">
                <a:solidFill>
                  <a:schemeClr val="lt1"/>
                </a:solidFill>
              </a:ln>
              <a:effectLst/>
            </c:spPr>
            <c:extLst>
              <c:ext xmlns:c16="http://schemas.microsoft.com/office/drawing/2014/chart" uri="{C3380CC4-5D6E-409C-BE32-E72D297353CC}">
                <c16:uniqueId val="{00000005-7DCE-48D3-9404-9AE597BABC83}"/>
              </c:ext>
            </c:extLst>
          </c:dPt>
          <c:dPt>
            <c:idx val="3"/>
            <c:bubble3D val="0"/>
            <c:spPr>
              <a:solidFill>
                <a:schemeClr val="accent1">
                  <a:tint val="93000"/>
                </a:schemeClr>
              </a:solidFill>
              <a:ln w="19050">
                <a:solidFill>
                  <a:schemeClr val="lt1"/>
                </a:solidFill>
              </a:ln>
              <a:effectLst/>
            </c:spPr>
            <c:extLst>
              <c:ext xmlns:c16="http://schemas.microsoft.com/office/drawing/2014/chart" uri="{C3380CC4-5D6E-409C-BE32-E72D297353CC}">
                <c16:uniqueId val="{00000007-7DCE-48D3-9404-9AE597BABC83}"/>
              </c:ext>
            </c:extLst>
          </c:dPt>
          <c:dPt>
            <c:idx val="4"/>
            <c:bubble3D val="0"/>
            <c:spPr>
              <a:solidFill>
                <a:schemeClr val="accent1">
                  <a:tint val="77000"/>
                </a:schemeClr>
              </a:solidFill>
              <a:ln w="19050">
                <a:solidFill>
                  <a:schemeClr val="lt1"/>
                </a:solidFill>
              </a:ln>
              <a:effectLst/>
            </c:spPr>
            <c:extLst>
              <c:ext xmlns:c16="http://schemas.microsoft.com/office/drawing/2014/chart" uri="{C3380CC4-5D6E-409C-BE32-E72D297353CC}">
                <c16:uniqueId val="{00000009-7DCE-48D3-9404-9AE597BABC83}"/>
              </c:ext>
            </c:extLst>
          </c:dPt>
          <c:dPt>
            <c:idx val="5"/>
            <c:bubble3D val="0"/>
            <c:spPr>
              <a:solidFill>
                <a:schemeClr val="accent1">
                  <a:tint val="46000"/>
                </a:schemeClr>
              </a:solidFill>
              <a:ln w="19050">
                <a:solidFill>
                  <a:schemeClr val="lt1"/>
                </a:solidFill>
              </a:ln>
              <a:effectLst/>
            </c:spPr>
            <c:extLst>
              <c:ext xmlns:c16="http://schemas.microsoft.com/office/drawing/2014/chart" uri="{C3380CC4-5D6E-409C-BE32-E72D297353CC}">
                <c16:uniqueId val="{0000000B-7DCE-48D3-9404-9AE597BABC83}"/>
              </c:ext>
            </c:extLst>
          </c:dPt>
          <c:dLbls>
            <c:dLbl>
              <c:idx val="1"/>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3-7DCE-48D3-9404-9AE597BABC83}"/>
                </c:ext>
              </c:extLst>
            </c:dLbl>
            <c:dLbl>
              <c:idx val="2"/>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5-7DCE-48D3-9404-9AE597BABC83}"/>
                </c:ext>
              </c:extLst>
            </c:dLbl>
            <c:dLbl>
              <c:idx val="3"/>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7-7DCE-48D3-9404-9AE597BABC8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'Exports 2-years'!$A$9:$A$17</c15:sqref>
                  </c15:fullRef>
                </c:ext>
              </c:extLst>
              <c:f>('Exports 2-years'!$A$9,'Exports 2-years'!$A$11:$A$14,'Exports 2-years'!$A$17)</c:f>
              <c:strCache>
                <c:ptCount val="6"/>
                <c:pt idx="0">
                  <c:v>Alumina and Bauxite</c:v>
                </c:pt>
                <c:pt idx="1">
                  <c:v>Gold</c:v>
                </c:pt>
                <c:pt idx="2">
                  <c:v>Iron Ore</c:v>
                </c:pt>
                <c:pt idx="3">
                  <c:v>Lithium</c:v>
                </c:pt>
                <c:pt idx="4">
                  <c:v>Mineral Sands</c:v>
                </c:pt>
                <c:pt idx="5">
                  <c:v>Other</c:v>
                </c:pt>
              </c:strCache>
            </c:strRef>
          </c:cat>
          <c:val>
            <c:numRef>
              <c:extLst>
                <c:ext xmlns:c15="http://schemas.microsoft.com/office/drawing/2012/chart" uri="{02D57815-91ED-43cb-92C2-25804820EDAC}">
                  <c15:fullRef>
                    <c15:sqref>'Exports 2-years'!$C$9:$C$17</c15:sqref>
                  </c15:fullRef>
                </c:ext>
              </c:extLst>
              <c:f>('Exports 2-years'!$C$9,'Exports 2-years'!$C$11:$C$14,'Exports 2-years'!$C$17)</c:f>
              <c:numCache>
                <c:formatCode>#,##0</c:formatCode>
                <c:ptCount val="6"/>
                <c:pt idx="0">
                  <c:v>6407371000</c:v>
                </c:pt>
                <c:pt idx="1">
                  <c:v>24930123000</c:v>
                </c:pt>
                <c:pt idx="2">
                  <c:v>136139123000</c:v>
                </c:pt>
                <c:pt idx="3">
                  <c:v>9253970184</c:v>
                </c:pt>
                <c:pt idx="4">
                  <c:v>0</c:v>
                </c:pt>
                <c:pt idx="5">
                  <c:v>56222735062.489571</c:v>
                </c:pt>
              </c:numCache>
            </c:numRef>
          </c:val>
          <c:extLst>
            <c:ext xmlns:c15="http://schemas.microsoft.com/office/drawing/2012/chart" uri="{02D57815-91ED-43cb-92C2-25804820EDAC}">
              <c15:categoryFilterExceptions>
                <c15:categoryFilterException>
                  <c15:sqref>'Exports 2-years'!$C$15</c15:sqref>
                  <c15:spPr xmlns:c15="http://schemas.microsoft.com/office/drawing/2012/chart">
                    <a:solidFill>
                      <a:schemeClr val="accent1">
                        <a:tint val="62000"/>
                      </a:schemeClr>
                    </a:solidFill>
                    <a:ln w="19050">
                      <a:solidFill>
                        <a:schemeClr val="lt1"/>
                      </a:solidFill>
                    </a:ln>
                    <a:effectLst/>
                  </c15:spPr>
                  <c15:bubble3D val="0"/>
                </c15:categoryFilterException>
                <c15:categoryFilterException>
                  <c15:sqref>'Exports 2-years'!$C$16</c15:sqref>
                  <c15:spPr xmlns:c15="http://schemas.microsoft.com/office/drawing/2012/chart">
                    <a:solidFill>
                      <a:schemeClr val="accent1">
                        <a:tint val="46000"/>
                      </a:schemeClr>
                    </a:solidFill>
                    <a:ln w="19050">
                      <a:solidFill>
                        <a:schemeClr val="lt1"/>
                      </a:solidFill>
                    </a:ln>
                    <a:effectLst/>
                  </c15:spPr>
                  <c15:bubble3D val="0"/>
                </c15:categoryFilterException>
              </c15:categoryFilterExceptions>
            </c:ext>
            <c:ext xmlns:c16="http://schemas.microsoft.com/office/drawing/2014/chart" uri="{C3380CC4-5D6E-409C-BE32-E72D297353CC}">
              <c16:uniqueId val="{0000000C-7DCE-48D3-9404-9AE597BABC83}"/>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rgbClr val="868686"/>
      </a:solid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strRef>
          <c:f>'Exports 2-years'!$T$7</c:f>
          <c:strCache>
            <c:ptCount val="1"/>
            <c:pt idx="0">
              <c:v>Western Australia Mineral and Petroleum Exports Growth 
2022-23 to 2023-24</c:v>
            </c:pt>
          </c:strCache>
        </c:strRef>
      </c:tx>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n-US"/>
        </a:p>
      </c:txPr>
    </c:title>
    <c:autoTitleDeleted val="0"/>
    <c:plotArea>
      <c:layout>
        <c:manualLayout>
          <c:layoutTarget val="inner"/>
          <c:xMode val="edge"/>
          <c:yMode val="edge"/>
          <c:x val="6.0921962582757228E-2"/>
          <c:y val="0.1722761214338614"/>
          <c:w val="0.92052782975981795"/>
          <c:h val="0.57812514395525061"/>
        </c:manualLayout>
      </c:layout>
      <c:barChart>
        <c:barDir val="col"/>
        <c:grouping val="clustered"/>
        <c:varyColors val="0"/>
        <c:ser>
          <c:idx val="0"/>
          <c:order val="0"/>
          <c:spPr>
            <a:solidFill>
              <a:schemeClr val="accent1"/>
            </a:solidFill>
            <a:ln>
              <a:noFill/>
            </a:ln>
            <a:effectLst/>
          </c:spPr>
          <c:invertIfNegative val="0"/>
          <c:cat>
            <c:strRef>
              <c:extLst>
                <c:ext xmlns:c15="http://schemas.microsoft.com/office/drawing/2012/chart" uri="{02D57815-91ED-43cb-92C2-25804820EDAC}">
                  <c15:fullRef>
                    <c15:sqref>'Exports 2-years'!$A$9:$A$17</c15:sqref>
                  </c15:fullRef>
                </c:ext>
              </c:extLst>
              <c:f>('Exports 2-years'!$A$9,'Exports 2-years'!$A$11:$A$14,'Exports 2-years'!$A$17)</c:f>
              <c:strCache>
                <c:ptCount val="6"/>
                <c:pt idx="0">
                  <c:v>Alumina and Bauxite</c:v>
                </c:pt>
                <c:pt idx="1">
                  <c:v>Gold</c:v>
                </c:pt>
                <c:pt idx="2">
                  <c:v>Iron Ore</c:v>
                </c:pt>
                <c:pt idx="3">
                  <c:v>Lithium</c:v>
                </c:pt>
                <c:pt idx="4">
                  <c:v>Mineral Sands</c:v>
                </c:pt>
                <c:pt idx="5">
                  <c:v>Other</c:v>
                </c:pt>
              </c:strCache>
            </c:strRef>
          </c:cat>
          <c:val>
            <c:numRef>
              <c:extLst>
                <c:ext xmlns:c15="http://schemas.microsoft.com/office/drawing/2012/chart" uri="{02D57815-91ED-43cb-92C2-25804820EDAC}">
                  <c15:fullRef>
                    <c15:sqref>'Exports 2-years'!$E$9:$E$17</c15:sqref>
                  </c15:fullRef>
                </c:ext>
              </c:extLst>
              <c:f>('Exports 2-years'!$E$9,'Exports 2-years'!$E$11:$E$14,'Exports 2-years'!$E$17)</c:f>
              <c:numCache>
                <c:formatCode>0%</c:formatCode>
                <c:ptCount val="6"/>
                <c:pt idx="0">
                  <c:v>-0.16371264628023327</c:v>
                </c:pt>
                <c:pt idx="1">
                  <c:v>0.24623098219913042</c:v>
                </c:pt>
                <c:pt idx="2">
                  <c:v>0.11107635019171455</c:v>
                </c:pt>
                <c:pt idx="3">
                  <c:v>-0.53827972835130866</c:v>
                </c:pt>
                <c:pt idx="4">
                  <c:v>0</c:v>
                </c:pt>
                <c:pt idx="5">
                  <c:v>-0.29135568326492572</c:v>
                </c:pt>
              </c:numCache>
            </c:numRef>
          </c:val>
          <c:extLst>
            <c:ext xmlns:c16="http://schemas.microsoft.com/office/drawing/2014/chart" uri="{C3380CC4-5D6E-409C-BE32-E72D297353CC}">
              <c16:uniqueId val="{00000000-F3C5-43D2-AFBE-AE56C3AF762C}"/>
            </c:ext>
          </c:extLst>
        </c:ser>
        <c:dLbls>
          <c:showLegendKey val="0"/>
          <c:showVal val="0"/>
          <c:showCatName val="0"/>
          <c:showSerName val="0"/>
          <c:showPercent val="0"/>
          <c:showBubbleSize val="0"/>
        </c:dLbls>
        <c:gapWidth val="150"/>
        <c:axId val="431276800"/>
        <c:axId val="431278336"/>
      </c:barChart>
      <c:catAx>
        <c:axId val="431276800"/>
        <c:scaling>
          <c:orientation val="minMax"/>
        </c:scaling>
        <c:delete val="0"/>
        <c:axPos val="b"/>
        <c:numFmt formatCode="General" sourceLinked="0"/>
        <c:majorTickMark val="none"/>
        <c:minorTickMark val="none"/>
        <c:tickLblPos val="low"/>
        <c:spPr>
          <a:noFill/>
          <a:ln w="9525" cap="flat" cmpd="sng" algn="ctr">
            <a:solidFill>
              <a:schemeClr val="tx1">
                <a:tint val="75000"/>
                <a:shade val="95000"/>
                <a:satMod val="105000"/>
              </a:schemeClr>
            </a:solidFill>
            <a:prstDash val="solid"/>
            <a:round/>
          </a:ln>
          <a:effectLst/>
        </c:spPr>
        <c:txPr>
          <a:bodyPr rot="-2820000" spcFirstLastPara="1" vertOverflow="ellipsis" wrap="square" anchor="ctr" anchorCtr="1"/>
          <a:lstStyle/>
          <a:p>
            <a:pPr>
              <a:defRPr sz="1000" b="0" i="0" u="none" strike="noStrike" kern="1200" baseline="0">
                <a:solidFill>
                  <a:schemeClr val="tx1"/>
                </a:solidFill>
                <a:latin typeface="+mn-lt"/>
                <a:ea typeface="+mn-ea"/>
                <a:cs typeface="+mn-cs"/>
              </a:defRPr>
            </a:pPr>
            <a:endParaRPr lang="en-US"/>
          </a:p>
        </c:txPr>
        <c:crossAx val="431278336"/>
        <c:crosses val="autoZero"/>
        <c:auto val="1"/>
        <c:lblAlgn val="ctr"/>
        <c:lblOffset val="100"/>
        <c:noMultiLvlLbl val="0"/>
      </c:catAx>
      <c:valAx>
        <c:axId val="431278336"/>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numFmt formatCode="0%"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31276800"/>
        <c:crosses val="autoZero"/>
        <c:crossBetween val="between"/>
        <c:majorUnit val="0.2"/>
      </c:valAx>
      <c:spPr>
        <a:solidFill>
          <a:schemeClr val="bg1"/>
        </a:solidFill>
        <a:ln>
          <a:noFill/>
        </a:ln>
        <a:effectLst/>
      </c:spPr>
    </c:plotArea>
    <c:plotVisOnly val="1"/>
    <c:dispBlanksAs val="gap"/>
    <c:showDLblsOverMax val="0"/>
  </c:chart>
  <c:spPr>
    <a:solidFill>
      <a:schemeClr val="bg1"/>
    </a:solidFill>
    <a:ln w="9525" cap="flat" cmpd="sng" algn="ctr">
      <a:solidFill>
        <a:srgbClr val="868686"/>
      </a:solidFill>
      <a:prstDash val="solid"/>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r>
              <a:rPr lang="en-AU" sz="1300"/>
              <a:t>Mining Investment </a:t>
            </a:r>
          </a:p>
          <a:p>
            <a:pPr>
              <a:defRPr/>
            </a:pPr>
            <a:r>
              <a:rPr lang="en-AU" sz="900"/>
              <a:t>Last 10 Calendar Years</a:t>
            </a:r>
          </a:p>
        </c:rich>
      </c:tx>
      <c:layout>
        <c:manualLayout>
          <c:xMode val="edge"/>
          <c:yMode val="edge"/>
          <c:x val="0.41638840532927529"/>
          <c:y val="2.1917808219178082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n-US"/>
        </a:p>
      </c:txPr>
    </c:title>
    <c:autoTitleDeleted val="0"/>
    <c:plotArea>
      <c:layout>
        <c:manualLayout>
          <c:layoutTarget val="inner"/>
          <c:xMode val="edge"/>
          <c:yMode val="edge"/>
          <c:x val="0.16146107268506327"/>
          <c:y val="0.27896986113437866"/>
          <c:w val="0.7372359093411196"/>
          <c:h val="0.53929552284225346"/>
        </c:manualLayout>
      </c:layout>
      <c:barChart>
        <c:barDir val="col"/>
        <c:grouping val="stacked"/>
        <c:varyColors val="0"/>
        <c:ser>
          <c:idx val="1"/>
          <c:order val="0"/>
          <c:tx>
            <c:v>Western Australia</c:v>
          </c:tx>
          <c:spPr>
            <a:solidFill>
              <a:schemeClr val="accent1"/>
            </a:solidFill>
            <a:ln>
              <a:noFill/>
            </a:ln>
            <a:effectLst/>
          </c:spPr>
          <c:invertIfNegative val="0"/>
          <c:cat>
            <c:numRef>
              <c:f>'Mining Investment'!$K$8:$K$17</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'Mining Investment'!$L$8:$L$17</c:f>
              <c:numCache>
                <c:formatCode>#,##0</c:formatCode>
                <c:ptCount val="10"/>
                <c:pt idx="0">
                  <c:v>46211</c:v>
                </c:pt>
                <c:pt idx="1">
                  <c:v>42384</c:v>
                </c:pt>
                <c:pt idx="2">
                  <c:v>26880</c:v>
                </c:pt>
                <c:pt idx="3">
                  <c:v>20458</c:v>
                </c:pt>
                <c:pt idx="4">
                  <c:v>17793</c:v>
                </c:pt>
                <c:pt idx="5">
                  <c:v>17236</c:v>
                </c:pt>
                <c:pt idx="6">
                  <c:v>19993</c:v>
                </c:pt>
                <c:pt idx="7">
                  <c:v>22258</c:v>
                </c:pt>
                <c:pt idx="8">
                  <c:v>25834</c:v>
                </c:pt>
                <c:pt idx="9">
                  <c:v>31052</c:v>
                </c:pt>
              </c:numCache>
            </c:numRef>
          </c:val>
          <c:extLst>
            <c:ext xmlns:c16="http://schemas.microsoft.com/office/drawing/2014/chart" uri="{C3380CC4-5D6E-409C-BE32-E72D297353CC}">
              <c16:uniqueId val="{00000000-9A71-4065-ADB6-96B746505CBC}"/>
            </c:ext>
          </c:extLst>
        </c:ser>
        <c:ser>
          <c:idx val="2"/>
          <c:order val="1"/>
          <c:tx>
            <c:v>Rest of Australia</c:v>
          </c:tx>
          <c:spPr>
            <a:solidFill>
              <a:schemeClr val="accent1">
                <a:tint val="65000"/>
              </a:schemeClr>
            </a:solidFill>
            <a:ln>
              <a:noFill/>
            </a:ln>
            <a:effectLst/>
          </c:spPr>
          <c:invertIfNegative val="0"/>
          <c:cat>
            <c:numRef>
              <c:f>'Mining Investment'!$K$8:$K$17</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'Mining Investment'!$M$8:$M$17</c:f>
              <c:numCache>
                <c:formatCode>#,##0</c:formatCode>
                <c:ptCount val="10"/>
                <c:pt idx="0">
                  <c:v>37335</c:v>
                </c:pt>
                <c:pt idx="1">
                  <c:v>22784</c:v>
                </c:pt>
                <c:pt idx="2">
                  <c:v>16045</c:v>
                </c:pt>
                <c:pt idx="3">
                  <c:v>16879</c:v>
                </c:pt>
                <c:pt idx="4">
                  <c:v>16802</c:v>
                </c:pt>
                <c:pt idx="5">
                  <c:v>16656</c:v>
                </c:pt>
                <c:pt idx="6">
                  <c:v>15165</c:v>
                </c:pt>
                <c:pt idx="7">
                  <c:v>15805</c:v>
                </c:pt>
                <c:pt idx="8">
                  <c:v>18398</c:v>
                </c:pt>
                <c:pt idx="9">
                  <c:v>20118</c:v>
                </c:pt>
              </c:numCache>
            </c:numRef>
          </c:val>
          <c:extLst>
            <c:ext xmlns:c16="http://schemas.microsoft.com/office/drawing/2014/chart" uri="{C3380CC4-5D6E-409C-BE32-E72D297353CC}">
              <c16:uniqueId val="{00000001-9A71-4065-ADB6-96B746505CBC}"/>
            </c:ext>
          </c:extLst>
        </c:ser>
        <c:dLbls>
          <c:showLegendKey val="0"/>
          <c:showVal val="0"/>
          <c:showCatName val="0"/>
          <c:showSerName val="0"/>
          <c:showPercent val="0"/>
          <c:showBubbleSize val="0"/>
        </c:dLbls>
        <c:gapWidth val="150"/>
        <c:overlap val="100"/>
        <c:axId val="422924288"/>
        <c:axId val="422926208"/>
      </c:barChart>
      <c:lineChart>
        <c:grouping val="standard"/>
        <c:varyColors val="0"/>
        <c:ser>
          <c:idx val="0"/>
          <c:order val="2"/>
          <c:tx>
            <c:strRef>
              <c:f>'Mining Investment'!$O$7</c:f>
              <c:strCache>
                <c:ptCount val="1"/>
                <c:pt idx="0">
                  <c:v>Western Australia Share of Australia</c:v>
                </c:pt>
              </c:strCache>
            </c:strRef>
          </c:tx>
          <c:spPr>
            <a:ln w="28575" cap="rnd" cmpd="sng" algn="ctr">
              <a:solidFill>
                <a:schemeClr val="accent1">
                  <a:shade val="65000"/>
                  <a:shade val="95000"/>
                  <a:satMod val="105000"/>
                </a:schemeClr>
              </a:solidFill>
              <a:prstDash val="solid"/>
              <a:round/>
            </a:ln>
            <a:effectLst/>
          </c:spPr>
          <c:marker>
            <c:symbol val="none"/>
          </c:marker>
          <c:cat>
            <c:numRef>
              <c:f>'Mining Investment'!$K$8:$K$17</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'Mining Investment'!$O$8:$O$17</c:f>
              <c:numCache>
                <c:formatCode>0%</c:formatCode>
                <c:ptCount val="10"/>
                <c:pt idx="0">
                  <c:v>0.55312043664568022</c:v>
                </c:pt>
                <c:pt idx="1">
                  <c:v>0.65038055487355761</c:v>
                </c:pt>
                <c:pt idx="2">
                  <c:v>0.62620850320326149</c:v>
                </c:pt>
                <c:pt idx="3">
                  <c:v>0.54792832846773976</c:v>
                </c:pt>
                <c:pt idx="4">
                  <c:v>0.51432287902876139</c:v>
                </c:pt>
                <c:pt idx="5">
                  <c:v>0.50855659152602384</c:v>
                </c:pt>
                <c:pt idx="6">
                  <c:v>0.56866147107343989</c:v>
                </c:pt>
                <c:pt idx="7">
                  <c:v>0.5847673593778735</c:v>
                </c:pt>
                <c:pt idx="8">
                  <c:v>0.58405679146319411</c:v>
                </c:pt>
                <c:pt idx="9">
                  <c:v>0.60683994528043772</c:v>
                </c:pt>
              </c:numCache>
            </c:numRef>
          </c:val>
          <c:smooth val="0"/>
          <c:extLst>
            <c:ext xmlns:c16="http://schemas.microsoft.com/office/drawing/2014/chart" uri="{C3380CC4-5D6E-409C-BE32-E72D297353CC}">
              <c16:uniqueId val="{00000002-9A71-4065-ADB6-96B746505CBC}"/>
            </c:ext>
          </c:extLst>
        </c:ser>
        <c:dLbls>
          <c:showLegendKey val="0"/>
          <c:showVal val="0"/>
          <c:showCatName val="0"/>
          <c:showSerName val="0"/>
          <c:showPercent val="0"/>
          <c:showBubbleSize val="0"/>
        </c:dLbls>
        <c:marker val="1"/>
        <c:smooth val="0"/>
        <c:axId val="1266057000"/>
        <c:axId val="1266053064"/>
      </c:lineChart>
      <c:catAx>
        <c:axId val="422924288"/>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r>
                  <a:rPr lang="en-AU" sz="900"/>
                  <a:t>Source: ABS</a:t>
                </a:r>
              </a:p>
            </c:rich>
          </c:tx>
          <c:layout>
            <c:manualLayout>
              <c:xMode val="edge"/>
              <c:yMode val="edge"/>
              <c:x val="4.1894550415240645E-3"/>
              <c:y val="0.94641765635399644"/>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rgbClr val="868686"/>
            </a:solidFill>
            <a:prstDash val="solid"/>
            <a:round/>
          </a:ln>
          <a:effectLst/>
        </c:spPr>
        <c:txPr>
          <a:bodyPr rot="-2700000" spcFirstLastPara="1" vertOverflow="ellipsis" wrap="square" anchor="ctr" anchorCtr="1"/>
          <a:lstStyle/>
          <a:p>
            <a:pPr>
              <a:defRPr sz="1000" b="0" i="0" u="none" strike="noStrike" kern="1200" baseline="0">
                <a:solidFill>
                  <a:schemeClr val="tx1"/>
                </a:solidFill>
                <a:latin typeface="+mn-lt"/>
                <a:ea typeface="+mn-ea"/>
                <a:cs typeface="+mn-cs"/>
              </a:defRPr>
            </a:pPr>
            <a:endParaRPr lang="en-US"/>
          </a:p>
        </c:txPr>
        <c:crossAx val="422926208"/>
        <c:crosses val="autoZero"/>
        <c:auto val="1"/>
        <c:lblAlgn val="ctr"/>
        <c:lblOffset val="100"/>
        <c:noMultiLvlLbl val="0"/>
      </c:catAx>
      <c:valAx>
        <c:axId val="422926208"/>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AU"/>
                  <a:t>$ Million</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22924288"/>
        <c:crosses val="autoZero"/>
        <c:crossBetween val="between"/>
        <c:majorUnit val="20000"/>
      </c:valAx>
      <c:valAx>
        <c:axId val="1266053064"/>
        <c:scaling>
          <c:orientation val="minMax"/>
          <c:max val="1"/>
        </c:scaling>
        <c:delete val="0"/>
        <c:axPos val="r"/>
        <c:numFmt formatCode="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266057000"/>
        <c:crosses val="max"/>
        <c:crossBetween val="between"/>
        <c:majorUnit val="0.2"/>
      </c:valAx>
      <c:catAx>
        <c:axId val="1266057000"/>
        <c:scaling>
          <c:orientation val="minMax"/>
        </c:scaling>
        <c:delete val="1"/>
        <c:axPos val="b"/>
        <c:numFmt formatCode="General" sourceLinked="1"/>
        <c:majorTickMark val="out"/>
        <c:minorTickMark val="none"/>
        <c:tickLblPos val="nextTo"/>
        <c:crossAx val="1266053064"/>
        <c:crosses val="autoZero"/>
        <c:auto val="1"/>
        <c:lblAlgn val="ctr"/>
        <c:lblOffset val="100"/>
        <c:noMultiLvlLbl val="0"/>
      </c:catAx>
      <c:spPr>
        <a:solidFill>
          <a:schemeClr val="bg1"/>
        </a:solidFill>
        <a:ln>
          <a:noFill/>
        </a:ln>
        <a:effectLst/>
      </c:spPr>
    </c:plotArea>
    <c:legend>
      <c:legendPos val="t"/>
      <c:layout>
        <c:manualLayout>
          <c:xMode val="edge"/>
          <c:yMode val="edge"/>
          <c:x val="6.4589713519852598E-2"/>
          <c:y val="0.12885904482910066"/>
          <c:w val="0.89027346049828882"/>
          <c:h val="0.133271888201176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r>
              <a:rPr lang="en-AU" sz="1300"/>
              <a:t>Mining Investment</a:t>
            </a:r>
          </a:p>
          <a:p>
            <a:pPr>
              <a:defRPr/>
            </a:pPr>
            <a:r>
              <a:rPr lang="en-AU" sz="900"/>
              <a:t>Last 10 Financial Years</a:t>
            </a:r>
          </a:p>
        </c:rich>
      </c:tx>
      <c:layout>
        <c:manualLayout>
          <c:xMode val="edge"/>
          <c:yMode val="edge"/>
          <c:x val="0.45795573469704115"/>
          <c:y val="2.5431425976385105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n-US"/>
        </a:p>
      </c:txPr>
    </c:title>
    <c:autoTitleDeleted val="0"/>
    <c:plotArea>
      <c:layout>
        <c:manualLayout>
          <c:layoutTarget val="inner"/>
          <c:xMode val="edge"/>
          <c:yMode val="edge"/>
          <c:x val="0.14541715441395023"/>
          <c:y val="0.29240458150278387"/>
          <c:w val="0.76685710402704521"/>
          <c:h val="0.47916604764027143"/>
        </c:manualLayout>
      </c:layout>
      <c:barChart>
        <c:barDir val="col"/>
        <c:grouping val="stacked"/>
        <c:varyColors val="0"/>
        <c:ser>
          <c:idx val="1"/>
          <c:order val="0"/>
          <c:tx>
            <c:v>Western Australia</c:v>
          </c:tx>
          <c:spPr>
            <a:solidFill>
              <a:schemeClr val="accent1"/>
            </a:solidFill>
            <a:ln>
              <a:noFill/>
            </a:ln>
            <a:effectLst/>
          </c:spPr>
          <c:invertIfNegative val="0"/>
          <c:dPt>
            <c:idx val="9"/>
            <c:invertIfNegative val="0"/>
            <c:bubble3D val="0"/>
            <c:spPr>
              <a:solidFill>
                <a:schemeClr val="accent1"/>
              </a:solidFill>
              <a:ln>
                <a:noFill/>
              </a:ln>
              <a:effectLst/>
            </c:spPr>
            <c:extLst>
              <c:ext xmlns:c16="http://schemas.microsoft.com/office/drawing/2014/chart" uri="{C3380CC4-5D6E-409C-BE32-E72D297353CC}">
                <c16:uniqueId val="{00000001-EB10-40F2-99DF-840955C56165}"/>
              </c:ext>
            </c:extLst>
          </c:dPt>
          <c:cat>
            <c:strRef>
              <c:f>'Mining Investment'!$S$8:$S$17</c:f>
              <c:strCache>
                <c:ptCount val="10"/>
                <c:pt idx="0">
                  <c:v>2014-15</c:v>
                </c:pt>
                <c:pt idx="1">
                  <c:v>2015-16</c:v>
                </c:pt>
                <c:pt idx="2">
                  <c:v>2016-17</c:v>
                </c:pt>
                <c:pt idx="3">
                  <c:v>2017-18</c:v>
                </c:pt>
                <c:pt idx="4">
                  <c:v>2018-19</c:v>
                </c:pt>
                <c:pt idx="5">
                  <c:v>2019-20</c:v>
                </c:pt>
                <c:pt idx="6">
                  <c:v>2020-21</c:v>
                </c:pt>
                <c:pt idx="7">
                  <c:v>2021-22</c:v>
                </c:pt>
                <c:pt idx="8">
                  <c:v>2022-23</c:v>
                </c:pt>
                <c:pt idx="9">
                  <c:v>2023-24</c:v>
                </c:pt>
              </c:strCache>
            </c:strRef>
          </c:cat>
          <c:val>
            <c:numRef>
              <c:f>'Mining Investment'!$T$8:$T$17</c:f>
              <c:numCache>
                <c:formatCode>#,##0</c:formatCode>
                <c:ptCount val="10"/>
                <c:pt idx="0">
                  <c:v>45990</c:v>
                </c:pt>
                <c:pt idx="1">
                  <c:v>35211</c:v>
                </c:pt>
                <c:pt idx="2">
                  <c:v>22230</c:v>
                </c:pt>
                <c:pt idx="3">
                  <c:v>19173</c:v>
                </c:pt>
                <c:pt idx="4">
                  <c:v>16968</c:v>
                </c:pt>
                <c:pt idx="5">
                  <c:v>18961</c:v>
                </c:pt>
                <c:pt idx="6">
                  <c:v>20671</c:v>
                </c:pt>
                <c:pt idx="7">
                  <c:v>24459</c:v>
                </c:pt>
                <c:pt idx="8">
                  <c:v>27292</c:v>
                </c:pt>
                <c:pt idx="9">
                  <c:v>32353</c:v>
                </c:pt>
              </c:numCache>
            </c:numRef>
          </c:val>
          <c:extLst>
            <c:ext xmlns:c16="http://schemas.microsoft.com/office/drawing/2014/chart" uri="{C3380CC4-5D6E-409C-BE32-E72D297353CC}">
              <c16:uniqueId val="{00000002-EB10-40F2-99DF-840955C56165}"/>
            </c:ext>
          </c:extLst>
        </c:ser>
        <c:ser>
          <c:idx val="2"/>
          <c:order val="1"/>
          <c:tx>
            <c:v>Rest of Australia</c:v>
          </c:tx>
          <c:spPr>
            <a:solidFill>
              <a:schemeClr val="accent1">
                <a:tint val="65000"/>
              </a:schemeClr>
            </a:solidFill>
            <a:ln>
              <a:noFill/>
            </a:ln>
            <a:effectLst/>
          </c:spPr>
          <c:invertIfNegative val="0"/>
          <c:dPt>
            <c:idx val="9"/>
            <c:invertIfNegative val="0"/>
            <c:bubble3D val="0"/>
            <c:spPr>
              <a:solidFill>
                <a:schemeClr val="accent1">
                  <a:tint val="65000"/>
                </a:schemeClr>
              </a:solidFill>
              <a:ln>
                <a:noFill/>
              </a:ln>
              <a:effectLst/>
            </c:spPr>
            <c:extLst>
              <c:ext xmlns:c16="http://schemas.microsoft.com/office/drawing/2014/chart" uri="{C3380CC4-5D6E-409C-BE32-E72D297353CC}">
                <c16:uniqueId val="{00000004-EB10-40F2-99DF-840955C56165}"/>
              </c:ext>
            </c:extLst>
          </c:dPt>
          <c:cat>
            <c:strRef>
              <c:f>'Mining Investment'!$S$8:$S$17</c:f>
              <c:strCache>
                <c:ptCount val="10"/>
                <c:pt idx="0">
                  <c:v>2014-15</c:v>
                </c:pt>
                <c:pt idx="1">
                  <c:v>2015-16</c:v>
                </c:pt>
                <c:pt idx="2">
                  <c:v>2016-17</c:v>
                </c:pt>
                <c:pt idx="3">
                  <c:v>2017-18</c:v>
                </c:pt>
                <c:pt idx="4">
                  <c:v>2018-19</c:v>
                </c:pt>
                <c:pt idx="5">
                  <c:v>2019-20</c:v>
                </c:pt>
                <c:pt idx="6">
                  <c:v>2020-21</c:v>
                </c:pt>
                <c:pt idx="7">
                  <c:v>2021-22</c:v>
                </c:pt>
                <c:pt idx="8">
                  <c:v>2022-23</c:v>
                </c:pt>
                <c:pt idx="9">
                  <c:v>2023-24</c:v>
                </c:pt>
              </c:strCache>
            </c:strRef>
          </c:cat>
          <c:val>
            <c:numRef>
              <c:f>'Mining Investment'!$U$8:$U$17</c:f>
              <c:numCache>
                <c:formatCode>#,##0</c:formatCode>
                <c:ptCount val="10"/>
                <c:pt idx="0">
                  <c:v>30127</c:v>
                </c:pt>
                <c:pt idx="1">
                  <c:v>18178</c:v>
                </c:pt>
                <c:pt idx="2">
                  <c:v>16520</c:v>
                </c:pt>
                <c:pt idx="3">
                  <c:v>17215</c:v>
                </c:pt>
                <c:pt idx="4">
                  <c:v>16386</c:v>
                </c:pt>
                <c:pt idx="5">
                  <c:v>16194</c:v>
                </c:pt>
                <c:pt idx="6">
                  <c:v>14789</c:v>
                </c:pt>
                <c:pt idx="7">
                  <c:v>17229</c:v>
                </c:pt>
                <c:pt idx="8">
                  <c:v>19464</c:v>
                </c:pt>
                <c:pt idx="9">
                  <c:v>20192</c:v>
                </c:pt>
              </c:numCache>
            </c:numRef>
          </c:val>
          <c:extLst>
            <c:ext xmlns:c16="http://schemas.microsoft.com/office/drawing/2014/chart" uri="{C3380CC4-5D6E-409C-BE32-E72D297353CC}">
              <c16:uniqueId val="{00000005-EB10-40F2-99DF-840955C56165}"/>
            </c:ext>
          </c:extLst>
        </c:ser>
        <c:dLbls>
          <c:showLegendKey val="0"/>
          <c:showVal val="0"/>
          <c:showCatName val="0"/>
          <c:showSerName val="0"/>
          <c:showPercent val="0"/>
          <c:showBubbleSize val="0"/>
        </c:dLbls>
        <c:gapWidth val="150"/>
        <c:overlap val="100"/>
        <c:axId val="427180032"/>
        <c:axId val="427181952"/>
      </c:barChart>
      <c:lineChart>
        <c:grouping val="standard"/>
        <c:varyColors val="0"/>
        <c:ser>
          <c:idx val="0"/>
          <c:order val="2"/>
          <c:tx>
            <c:strRef>
              <c:f>'Mining Investment'!$W$7</c:f>
              <c:strCache>
                <c:ptCount val="1"/>
                <c:pt idx="0">
                  <c:v>Western Australia Share of Australia</c:v>
                </c:pt>
              </c:strCache>
            </c:strRef>
          </c:tx>
          <c:spPr>
            <a:ln w="28575" cap="rnd" cmpd="sng" algn="ctr">
              <a:solidFill>
                <a:schemeClr val="accent1">
                  <a:shade val="65000"/>
                  <a:shade val="95000"/>
                  <a:satMod val="105000"/>
                </a:schemeClr>
              </a:solidFill>
              <a:prstDash val="solid"/>
              <a:round/>
            </a:ln>
            <a:effectLst/>
          </c:spPr>
          <c:marker>
            <c:symbol val="none"/>
          </c:marker>
          <c:cat>
            <c:strRef>
              <c:f>'Mining Investment'!$S$8:$S$17</c:f>
              <c:strCache>
                <c:ptCount val="10"/>
                <c:pt idx="0">
                  <c:v>2014-15</c:v>
                </c:pt>
                <c:pt idx="1">
                  <c:v>2015-16</c:v>
                </c:pt>
                <c:pt idx="2">
                  <c:v>2016-17</c:v>
                </c:pt>
                <c:pt idx="3">
                  <c:v>2017-18</c:v>
                </c:pt>
                <c:pt idx="4">
                  <c:v>2018-19</c:v>
                </c:pt>
                <c:pt idx="5">
                  <c:v>2019-20</c:v>
                </c:pt>
                <c:pt idx="6">
                  <c:v>2020-21</c:v>
                </c:pt>
                <c:pt idx="7">
                  <c:v>2021-22</c:v>
                </c:pt>
                <c:pt idx="8">
                  <c:v>2022-23</c:v>
                </c:pt>
                <c:pt idx="9">
                  <c:v>2023-24</c:v>
                </c:pt>
              </c:strCache>
            </c:strRef>
          </c:cat>
          <c:val>
            <c:numRef>
              <c:f>'Mining Investment'!$W$8:$W$17</c:f>
              <c:numCache>
                <c:formatCode>0%</c:formatCode>
                <c:ptCount val="10"/>
                <c:pt idx="0">
                  <c:v>0.60420142675092292</c:v>
                </c:pt>
                <c:pt idx="1">
                  <c:v>0.6595178782146135</c:v>
                </c:pt>
                <c:pt idx="2">
                  <c:v>0.57367741935483874</c:v>
                </c:pt>
                <c:pt idx="3">
                  <c:v>0.52690447400241835</c:v>
                </c:pt>
                <c:pt idx="4">
                  <c:v>0.50872459075373266</c:v>
                </c:pt>
                <c:pt idx="5">
                  <c:v>0.53935428815246766</c:v>
                </c:pt>
                <c:pt idx="6">
                  <c:v>0.58293852227862375</c:v>
                </c:pt>
                <c:pt idx="7">
                  <c:v>0.58671560161197467</c:v>
                </c:pt>
                <c:pt idx="8">
                  <c:v>0.58371118145264778</c:v>
                </c:pt>
                <c:pt idx="9">
                  <c:v>0.61571985916833194</c:v>
                </c:pt>
              </c:numCache>
            </c:numRef>
          </c:val>
          <c:smooth val="0"/>
          <c:extLst>
            <c:ext xmlns:c16="http://schemas.microsoft.com/office/drawing/2014/chart" uri="{C3380CC4-5D6E-409C-BE32-E72D297353CC}">
              <c16:uniqueId val="{00000006-EB10-40F2-99DF-840955C56165}"/>
            </c:ext>
          </c:extLst>
        </c:ser>
        <c:dLbls>
          <c:showLegendKey val="0"/>
          <c:showVal val="0"/>
          <c:showCatName val="0"/>
          <c:showSerName val="0"/>
          <c:showPercent val="0"/>
          <c:showBubbleSize val="0"/>
        </c:dLbls>
        <c:marker val="1"/>
        <c:smooth val="0"/>
        <c:axId val="1288880816"/>
        <c:axId val="1288876880"/>
      </c:lineChart>
      <c:catAx>
        <c:axId val="427180032"/>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r>
                  <a:rPr lang="en-AU" sz="900"/>
                  <a:t>Source: ABS</a:t>
                </a:r>
              </a:p>
            </c:rich>
          </c:tx>
          <c:layout>
            <c:manualLayout>
              <c:xMode val="edge"/>
              <c:yMode val="edge"/>
              <c:x val="9.2280856373997047E-3"/>
              <c:y val="0.9464176411910775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chemeClr val="tx1"/>
                </a:solidFill>
                <a:latin typeface="+mn-lt"/>
                <a:ea typeface="+mn-ea"/>
                <a:cs typeface="+mn-cs"/>
              </a:defRPr>
            </a:pPr>
            <a:endParaRPr lang="en-US"/>
          </a:p>
        </c:txPr>
        <c:crossAx val="427181952"/>
        <c:crosses val="autoZero"/>
        <c:auto val="1"/>
        <c:lblAlgn val="ctr"/>
        <c:lblOffset val="100"/>
        <c:noMultiLvlLbl val="0"/>
      </c:catAx>
      <c:valAx>
        <c:axId val="427181952"/>
        <c:scaling>
          <c:orientation val="minMax"/>
          <c:max val="10000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AU"/>
                  <a:t>$ Million</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27180032"/>
        <c:crosses val="autoZero"/>
        <c:crossBetween val="between"/>
        <c:majorUnit val="20000"/>
      </c:valAx>
      <c:valAx>
        <c:axId val="1288876880"/>
        <c:scaling>
          <c:orientation val="minMax"/>
          <c:max val="1"/>
        </c:scaling>
        <c:delete val="0"/>
        <c:axPos val="r"/>
        <c:numFmt formatCode="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288880816"/>
        <c:crosses val="max"/>
        <c:crossBetween val="between"/>
        <c:majorUnit val="0.2"/>
      </c:valAx>
      <c:catAx>
        <c:axId val="1288880816"/>
        <c:scaling>
          <c:orientation val="minMax"/>
        </c:scaling>
        <c:delete val="1"/>
        <c:axPos val="b"/>
        <c:numFmt formatCode="General" sourceLinked="1"/>
        <c:majorTickMark val="out"/>
        <c:minorTickMark val="none"/>
        <c:tickLblPos val="nextTo"/>
        <c:crossAx val="1288876880"/>
        <c:crosses val="autoZero"/>
        <c:auto val="1"/>
        <c:lblAlgn val="ctr"/>
        <c:lblOffset val="100"/>
        <c:noMultiLvlLbl val="0"/>
      </c:catAx>
      <c:spPr>
        <a:solidFill>
          <a:schemeClr val="bg1"/>
        </a:solidFill>
        <a:ln>
          <a:noFill/>
        </a:ln>
        <a:effectLst/>
      </c:spPr>
    </c:plotArea>
    <c:legend>
      <c:legendPos val="t"/>
      <c:layout>
        <c:manualLayout>
          <c:xMode val="edge"/>
          <c:yMode val="edge"/>
          <c:x val="3.3116480027794618E-2"/>
          <c:y val="0.15042242361214281"/>
          <c:w val="0.95147734634665659"/>
          <c:h val="0.1245851815692849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strRef>
          <c:f>'Min. Expl. By Commodity'!$B$8:$F$8</c:f>
          <c:strCache>
            <c:ptCount val="5"/>
            <c:pt idx="0">
              <c:v> Mineral Exploration Expenditure</c:v>
            </c:pt>
          </c:strCache>
        </c:strRef>
      </c:tx>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stacked"/>
        <c:varyColors val="0"/>
        <c:ser>
          <c:idx val="0"/>
          <c:order val="0"/>
          <c:tx>
            <c:v>Western Australia</c:v>
          </c:tx>
          <c:spPr>
            <a:solidFill>
              <a:schemeClr val="accent6"/>
            </a:solidFill>
            <a:ln>
              <a:noFill/>
            </a:ln>
            <a:effectLst/>
          </c:spPr>
          <c:invertIfNegative val="0"/>
          <c:cat>
            <c:numRef>
              <c:f>'Min. Expl. By Commodity'!$H$10:$H$19</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'Min. Expl. By Commodity'!$I$10:$I$19</c:f>
              <c:numCache>
                <c:formatCode>#,##0</c:formatCode>
                <c:ptCount val="10"/>
                <c:pt idx="0">
                  <c:v>1045.3</c:v>
                </c:pt>
                <c:pt idx="1">
                  <c:v>843.7</c:v>
                </c:pt>
                <c:pt idx="2">
                  <c:v>927.59999999999991</c:v>
                </c:pt>
                <c:pt idx="3">
                  <c:v>1108.7</c:v>
                </c:pt>
                <c:pt idx="4">
                  <c:v>1318.1</c:v>
                </c:pt>
                <c:pt idx="5">
                  <c:v>1648.1999999999998</c:v>
                </c:pt>
                <c:pt idx="6">
                  <c:v>1757.5</c:v>
                </c:pt>
                <c:pt idx="7">
                  <c:v>2351.3999999999996</c:v>
                </c:pt>
                <c:pt idx="8">
                  <c:v>2546.8000000000002</c:v>
                </c:pt>
                <c:pt idx="9">
                  <c:v>2601.2000000000003</c:v>
                </c:pt>
              </c:numCache>
            </c:numRef>
          </c:val>
          <c:extLst>
            <c:ext xmlns:c16="http://schemas.microsoft.com/office/drawing/2014/chart" uri="{C3380CC4-5D6E-409C-BE32-E72D297353CC}">
              <c16:uniqueId val="{00000000-062A-4394-B697-0E75E605EDBC}"/>
            </c:ext>
          </c:extLst>
        </c:ser>
        <c:ser>
          <c:idx val="1"/>
          <c:order val="1"/>
          <c:tx>
            <c:v>Rest of Australia</c:v>
          </c:tx>
          <c:spPr>
            <a:solidFill>
              <a:schemeClr val="accent6">
                <a:lumMod val="60000"/>
                <a:lumOff val="40000"/>
              </a:schemeClr>
            </a:solidFill>
            <a:ln>
              <a:noFill/>
            </a:ln>
            <a:effectLst/>
          </c:spPr>
          <c:invertIfNegative val="0"/>
          <c:cat>
            <c:numRef>
              <c:f>'Min. Expl. By Commodity'!$H$10:$H$19</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'Min. Expl. By Commodity'!$J$10:$J$19</c:f>
              <c:numCache>
                <c:formatCode>#,##0</c:formatCode>
                <c:ptCount val="10"/>
                <c:pt idx="0">
                  <c:v>794.2</c:v>
                </c:pt>
                <c:pt idx="1">
                  <c:v>594.89999999999986</c:v>
                </c:pt>
                <c:pt idx="2">
                  <c:v>499.30000000000018</c:v>
                </c:pt>
                <c:pt idx="3">
                  <c:v>645.10000000000014</c:v>
                </c:pt>
                <c:pt idx="4">
                  <c:v>865.50000000000045</c:v>
                </c:pt>
                <c:pt idx="5">
                  <c:v>1000.2000000000003</c:v>
                </c:pt>
                <c:pt idx="6">
                  <c:v>1051.3000000000002</c:v>
                </c:pt>
                <c:pt idx="7">
                  <c:v>1244.7000000000007</c:v>
                </c:pt>
                <c:pt idx="8">
                  <c:v>1513.2999999999993</c:v>
                </c:pt>
                <c:pt idx="9">
                  <c:v>1659.4</c:v>
                </c:pt>
              </c:numCache>
            </c:numRef>
          </c:val>
          <c:extLst>
            <c:ext xmlns:c16="http://schemas.microsoft.com/office/drawing/2014/chart" uri="{C3380CC4-5D6E-409C-BE32-E72D297353CC}">
              <c16:uniqueId val="{00000001-062A-4394-B697-0E75E605EDBC}"/>
            </c:ext>
          </c:extLst>
        </c:ser>
        <c:dLbls>
          <c:showLegendKey val="0"/>
          <c:showVal val="0"/>
          <c:showCatName val="0"/>
          <c:showSerName val="0"/>
          <c:showPercent val="0"/>
          <c:showBubbleSize val="0"/>
        </c:dLbls>
        <c:gapWidth val="150"/>
        <c:overlap val="100"/>
        <c:axId val="465821200"/>
        <c:axId val="553162656"/>
      </c:barChart>
      <c:lineChart>
        <c:grouping val="standard"/>
        <c:varyColors val="0"/>
        <c:ser>
          <c:idx val="2"/>
          <c:order val="3"/>
          <c:spPr>
            <a:ln w="28575" cap="rnd">
              <a:solidFill>
                <a:srgbClr val="FFFFFF">
                  <a:alpha val="0"/>
                </a:srgbClr>
              </a:solidFill>
              <a:round/>
            </a:ln>
            <a:effectLst/>
          </c:spPr>
          <c:marker>
            <c:symbol val="none"/>
          </c:marker>
          <c:val>
            <c:numRef>
              <c:f>'Min. Expl. By Commodity'!$Q$10:$Q$19</c:f>
              <c:numCache>
                <c:formatCode>#,##0</c:formatCode>
                <c:ptCount val="10"/>
                <c:pt idx="0">
                  <c:v>1578.6999999999998</c:v>
                </c:pt>
                <c:pt idx="1">
                  <c:v>1421.1</c:v>
                </c:pt>
                <c:pt idx="2">
                  <c:v>1565.1</c:v>
                </c:pt>
                <c:pt idx="3">
                  <c:v>1977.8</c:v>
                </c:pt>
                <c:pt idx="4">
                  <c:v>2347.6</c:v>
                </c:pt>
                <c:pt idx="5">
                  <c:v>2771.8</c:v>
                </c:pt>
                <c:pt idx="6">
                  <c:v>3161.7</c:v>
                </c:pt>
                <c:pt idx="7">
                  <c:v>3861.9000000000005</c:v>
                </c:pt>
                <c:pt idx="8">
                  <c:v>4133.3999999999996</c:v>
                </c:pt>
                <c:pt idx="9">
                  <c:v>4199.5999999999995</c:v>
                </c:pt>
              </c:numCache>
            </c:numRef>
          </c:val>
          <c:smooth val="0"/>
          <c:extLst>
            <c:ext xmlns:c16="http://schemas.microsoft.com/office/drawing/2014/chart" uri="{C3380CC4-5D6E-409C-BE32-E72D297353CC}">
              <c16:uniqueId val="{00000002-062A-4394-B697-0E75E605EDBC}"/>
            </c:ext>
          </c:extLst>
        </c:ser>
        <c:dLbls>
          <c:showLegendKey val="0"/>
          <c:showVal val="0"/>
          <c:showCatName val="0"/>
          <c:showSerName val="0"/>
          <c:showPercent val="0"/>
          <c:showBubbleSize val="0"/>
        </c:dLbls>
        <c:marker val="1"/>
        <c:smooth val="0"/>
        <c:axId val="465821200"/>
        <c:axId val="553162656"/>
      </c:lineChart>
      <c:lineChart>
        <c:grouping val="standard"/>
        <c:varyColors val="0"/>
        <c:ser>
          <c:idx val="3"/>
          <c:order val="2"/>
          <c:tx>
            <c:strRef>
              <c:f>'Min. Expl. By Commodity'!$L$9</c:f>
              <c:strCache>
                <c:ptCount val="1"/>
                <c:pt idx="0">
                  <c:v>Western Australia Share of Australia</c:v>
                </c:pt>
              </c:strCache>
            </c:strRef>
          </c:tx>
          <c:spPr>
            <a:ln w="28575" cap="rnd">
              <a:solidFill>
                <a:srgbClr val="E6883B"/>
              </a:solidFill>
              <a:round/>
            </a:ln>
            <a:effectLst/>
          </c:spPr>
          <c:marker>
            <c:symbol val="none"/>
          </c:marker>
          <c:cat>
            <c:numRef>
              <c:f>'Min. Expl. By Commodity'!$H$10:$H$19</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'Min. Expl. By Commodity'!$L$10:$L$19</c:f>
              <c:numCache>
                <c:formatCode>0%</c:formatCode>
                <c:ptCount val="10"/>
                <c:pt idx="0">
                  <c:v>0.56825224245718942</c:v>
                </c:pt>
                <c:pt idx="1">
                  <c:v>0.58647295982204928</c:v>
                </c:pt>
                <c:pt idx="2">
                  <c:v>0.65008059429532539</c:v>
                </c:pt>
                <c:pt idx="3">
                  <c:v>0.63217014482837264</c:v>
                </c:pt>
                <c:pt idx="4">
                  <c:v>0.60363619710569683</c:v>
                </c:pt>
                <c:pt idx="5">
                  <c:v>0.6223380154055278</c:v>
                </c:pt>
                <c:pt idx="6">
                  <c:v>0.62571204784961543</c:v>
                </c:pt>
                <c:pt idx="7">
                  <c:v>0.65387503128389068</c:v>
                </c:pt>
                <c:pt idx="8">
                  <c:v>0.62727519026624978</c:v>
                </c:pt>
                <c:pt idx="9">
                  <c:v>0.61052433929493499</c:v>
                </c:pt>
              </c:numCache>
            </c:numRef>
          </c:val>
          <c:smooth val="0"/>
          <c:extLst>
            <c:ext xmlns:c16="http://schemas.microsoft.com/office/drawing/2014/chart" uri="{C3380CC4-5D6E-409C-BE32-E72D297353CC}">
              <c16:uniqueId val="{00000003-062A-4394-B697-0E75E605EDBC}"/>
            </c:ext>
          </c:extLst>
        </c:ser>
        <c:dLbls>
          <c:showLegendKey val="0"/>
          <c:showVal val="0"/>
          <c:showCatName val="0"/>
          <c:showSerName val="0"/>
          <c:showPercent val="0"/>
          <c:showBubbleSize val="0"/>
        </c:dLbls>
        <c:marker val="1"/>
        <c:smooth val="0"/>
        <c:axId val="465817952"/>
        <c:axId val="553145376"/>
      </c:lineChart>
      <c:catAx>
        <c:axId val="465821200"/>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AU" sz="900" b="1">
                    <a:solidFill>
                      <a:sysClr val="windowText" lastClr="000000"/>
                    </a:solidFill>
                  </a:rPr>
                  <a:t>Source: ABS</a:t>
                </a:r>
              </a:p>
            </c:rich>
          </c:tx>
          <c:layout>
            <c:manualLayout>
              <c:xMode val="edge"/>
              <c:yMode val="edge"/>
              <c:x val="1.7958518518518506E-2"/>
              <c:y val="0.9330249999999999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cross"/>
        <c:minorTickMark val="none"/>
        <c:tickLblPos val="nextTo"/>
        <c:spPr>
          <a:noFill/>
          <a:ln w="9525" cap="flat" cmpd="sng" algn="ctr">
            <a:solidFill>
              <a:schemeClr val="tx1">
                <a:lumMod val="75000"/>
                <a:lumOff val="25000"/>
              </a:schemeClr>
            </a:solidFill>
            <a:round/>
          </a:ln>
          <a:effectLst/>
        </c:spPr>
        <c:txPr>
          <a:bodyPr rot="-60000000" spcFirstLastPara="1" vertOverflow="ellipsis" vert="horz" wrap="square" anchor="ctr" anchorCtr="1"/>
          <a:lstStyle/>
          <a:p>
            <a:pPr>
              <a:defRPr sz="900" b="0" i="0" u="none" strike="noStrike" kern="1200" baseline="0">
                <a:solidFill>
                  <a:schemeClr val="tx1">
                    <a:lumMod val="75000"/>
                    <a:lumOff val="25000"/>
                  </a:schemeClr>
                </a:solidFill>
                <a:latin typeface="+mn-lt"/>
                <a:ea typeface="+mn-ea"/>
                <a:cs typeface="+mn-cs"/>
              </a:defRPr>
            </a:pPr>
            <a:endParaRPr lang="en-US"/>
          </a:p>
        </c:txPr>
        <c:crossAx val="553162656"/>
        <c:crosses val="autoZero"/>
        <c:auto val="1"/>
        <c:lblAlgn val="ctr"/>
        <c:lblOffset val="100"/>
        <c:noMultiLvlLbl val="0"/>
      </c:catAx>
      <c:valAx>
        <c:axId val="553162656"/>
        <c:scaling>
          <c:orientation val="minMax"/>
          <c:min val="0"/>
        </c:scaling>
        <c:delete val="0"/>
        <c:axPos val="l"/>
        <c:majorGridlines>
          <c:spPr>
            <a:ln w="9525" cap="flat" cmpd="sng" algn="ctr">
              <a:solidFill>
                <a:schemeClr val="tx1">
                  <a:lumMod val="75000"/>
                  <a:lumOff val="2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AU" b="1">
                    <a:solidFill>
                      <a:sysClr val="windowText" lastClr="000000"/>
                    </a:solidFill>
                  </a:rPr>
                  <a:t>$ Million</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 sourceLinked="1"/>
        <c:majorTickMark val="cross"/>
        <c:minorTickMark val="none"/>
        <c:tickLblPos val="nextTo"/>
        <c:spPr>
          <a:noFill/>
          <a:ln>
            <a:solidFill>
              <a:srgbClr val="868686"/>
            </a:solidFill>
          </a:ln>
          <a:effectLst/>
        </c:spPr>
        <c:txPr>
          <a:bodyPr rot="-60000000" spcFirstLastPara="1" vertOverflow="ellipsis" vert="horz" wrap="square" anchor="ctr" anchorCtr="1"/>
          <a:lstStyle/>
          <a:p>
            <a:pPr>
              <a:defRPr sz="900" b="0" i="0" u="none" strike="noStrike" kern="1200" baseline="0">
                <a:solidFill>
                  <a:schemeClr val="tx1">
                    <a:lumMod val="75000"/>
                    <a:lumOff val="25000"/>
                  </a:schemeClr>
                </a:solidFill>
                <a:latin typeface="+mn-lt"/>
                <a:ea typeface="+mn-ea"/>
                <a:cs typeface="+mn-cs"/>
              </a:defRPr>
            </a:pPr>
            <a:endParaRPr lang="en-US"/>
          </a:p>
        </c:txPr>
        <c:crossAx val="465821200"/>
        <c:crosses val="autoZero"/>
        <c:crossBetween val="between"/>
      </c:valAx>
      <c:valAx>
        <c:axId val="553145376"/>
        <c:scaling>
          <c:orientation val="minMax"/>
          <c:max val="1"/>
          <c:min val="0"/>
        </c:scaling>
        <c:delete val="0"/>
        <c:axPos val="r"/>
        <c:numFmt formatCode="0%" sourceLinked="1"/>
        <c:majorTickMark val="cross"/>
        <c:minorTickMark val="none"/>
        <c:tickLblPos val="nextTo"/>
        <c:spPr>
          <a:noFill/>
          <a:ln>
            <a:solidFill>
              <a:schemeClr val="tx1">
                <a:lumMod val="75000"/>
                <a:lumOff val="25000"/>
              </a:schemeClr>
            </a:solidFill>
          </a:ln>
          <a:effectLst/>
        </c:spPr>
        <c:txPr>
          <a:bodyPr rot="-60000000" spcFirstLastPara="1" vertOverflow="ellipsis" vert="horz" wrap="square" anchor="ctr" anchorCtr="1"/>
          <a:lstStyle/>
          <a:p>
            <a:pPr>
              <a:defRPr sz="900" b="0" i="0" u="none" strike="noStrike" kern="1200" baseline="0">
                <a:solidFill>
                  <a:schemeClr val="tx1">
                    <a:lumMod val="75000"/>
                    <a:lumOff val="25000"/>
                  </a:schemeClr>
                </a:solidFill>
                <a:latin typeface="+mn-lt"/>
                <a:ea typeface="+mn-ea"/>
                <a:cs typeface="+mn-cs"/>
              </a:defRPr>
            </a:pPr>
            <a:endParaRPr lang="en-US"/>
          </a:p>
        </c:txPr>
        <c:crossAx val="465817952"/>
        <c:crosses val="max"/>
        <c:crossBetween val="between"/>
        <c:majorUnit val="0.2"/>
      </c:valAx>
      <c:catAx>
        <c:axId val="465817952"/>
        <c:scaling>
          <c:orientation val="minMax"/>
        </c:scaling>
        <c:delete val="1"/>
        <c:axPos val="b"/>
        <c:numFmt formatCode="General" sourceLinked="1"/>
        <c:majorTickMark val="none"/>
        <c:minorTickMark val="none"/>
        <c:tickLblPos val="nextTo"/>
        <c:crossAx val="553145376"/>
        <c:crosses val="autoZero"/>
        <c:auto val="1"/>
        <c:lblAlgn val="ctr"/>
        <c:lblOffset val="100"/>
        <c:noMultiLvlLbl val="0"/>
      </c:catAx>
      <c:spPr>
        <a:noFill/>
        <a:ln>
          <a:noFill/>
        </a:ln>
        <a:effectLst/>
      </c:spPr>
    </c:plotArea>
    <c:legend>
      <c:legendPos val="t"/>
      <c:legendEntry>
        <c:idx val="2"/>
        <c:delete val="1"/>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75000"/>
          <a:lumOff val="2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strRef>
          <c:f>'Min. Expl. By Commodity'!$B$8:$F$8</c:f>
          <c:strCache>
            <c:ptCount val="5"/>
            <c:pt idx="0">
              <c:v> Mineral Exploration Expenditure</c:v>
            </c:pt>
          </c:strCache>
        </c:strRef>
      </c:tx>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stacked"/>
        <c:varyColors val="0"/>
        <c:ser>
          <c:idx val="0"/>
          <c:order val="0"/>
          <c:tx>
            <c:v>Western Australia</c:v>
          </c:tx>
          <c:spPr>
            <a:solidFill>
              <a:schemeClr val="accent6"/>
            </a:solidFill>
            <a:ln>
              <a:noFill/>
            </a:ln>
            <a:effectLst/>
          </c:spPr>
          <c:invertIfNegative val="0"/>
          <c:cat>
            <c:strRef>
              <c:f>'Min. Expl. By Commodity'!$N$10:$N$19</c:f>
              <c:strCache>
                <c:ptCount val="10"/>
                <c:pt idx="0">
                  <c:v>2014-15</c:v>
                </c:pt>
                <c:pt idx="1">
                  <c:v>2015-16</c:v>
                </c:pt>
                <c:pt idx="2">
                  <c:v>2016-17</c:v>
                </c:pt>
                <c:pt idx="3">
                  <c:v>2017-18</c:v>
                </c:pt>
                <c:pt idx="4">
                  <c:v>2018-19</c:v>
                </c:pt>
                <c:pt idx="5">
                  <c:v>2019-20</c:v>
                </c:pt>
                <c:pt idx="6">
                  <c:v>2020-21</c:v>
                </c:pt>
                <c:pt idx="7">
                  <c:v>2021-22</c:v>
                </c:pt>
                <c:pt idx="8">
                  <c:v>2022-23</c:v>
                </c:pt>
                <c:pt idx="9">
                  <c:v>2023-24</c:v>
                </c:pt>
              </c:strCache>
            </c:strRef>
          </c:cat>
          <c:val>
            <c:numRef>
              <c:f>'Min. Expl. By Commodity'!$O$10:$O$19</c:f>
              <c:numCache>
                <c:formatCode>#,##0</c:formatCode>
                <c:ptCount val="10"/>
                <c:pt idx="0">
                  <c:v>917.40000000000009</c:v>
                </c:pt>
                <c:pt idx="1">
                  <c:v>871</c:v>
                </c:pt>
                <c:pt idx="2">
                  <c:v>1028.3</c:v>
                </c:pt>
                <c:pt idx="3">
                  <c:v>1203.5</c:v>
                </c:pt>
                <c:pt idx="4">
                  <c:v>1441.9</c:v>
                </c:pt>
                <c:pt idx="5">
                  <c:v>1693.1</c:v>
                </c:pt>
                <c:pt idx="6">
                  <c:v>2052.1</c:v>
                </c:pt>
                <c:pt idx="7">
                  <c:v>2478.6</c:v>
                </c:pt>
                <c:pt idx="8">
                  <c:v>2554.9</c:v>
                </c:pt>
                <c:pt idx="9">
                  <c:v>2575.1999999999998</c:v>
                </c:pt>
              </c:numCache>
            </c:numRef>
          </c:val>
          <c:extLst>
            <c:ext xmlns:c16="http://schemas.microsoft.com/office/drawing/2014/chart" uri="{C3380CC4-5D6E-409C-BE32-E72D297353CC}">
              <c16:uniqueId val="{00000000-F99C-46E4-908F-D75E28156847}"/>
            </c:ext>
          </c:extLst>
        </c:ser>
        <c:ser>
          <c:idx val="1"/>
          <c:order val="1"/>
          <c:tx>
            <c:v>Rest of Australia</c:v>
          </c:tx>
          <c:spPr>
            <a:solidFill>
              <a:schemeClr val="accent6">
                <a:lumMod val="60000"/>
                <a:lumOff val="40000"/>
              </a:schemeClr>
            </a:solidFill>
            <a:ln>
              <a:noFill/>
            </a:ln>
            <a:effectLst/>
          </c:spPr>
          <c:invertIfNegative val="0"/>
          <c:cat>
            <c:strRef>
              <c:f>'Min. Expl. By Commodity'!$N$10:$N$19</c:f>
              <c:strCache>
                <c:ptCount val="10"/>
                <c:pt idx="0">
                  <c:v>2014-15</c:v>
                </c:pt>
                <c:pt idx="1">
                  <c:v>2015-16</c:v>
                </c:pt>
                <c:pt idx="2">
                  <c:v>2016-17</c:v>
                </c:pt>
                <c:pt idx="3">
                  <c:v>2017-18</c:v>
                </c:pt>
                <c:pt idx="4">
                  <c:v>2018-19</c:v>
                </c:pt>
                <c:pt idx="5">
                  <c:v>2019-20</c:v>
                </c:pt>
                <c:pt idx="6">
                  <c:v>2020-21</c:v>
                </c:pt>
                <c:pt idx="7">
                  <c:v>2021-22</c:v>
                </c:pt>
                <c:pt idx="8">
                  <c:v>2022-23</c:v>
                </c:pt>
                <c:pt idx="9">
                  <c:v>2023-24</c:v>
                </c:pt>
              </c:strCache>
            </c:strRef>
          </c:cat>
          <c:val>
            <c:numRef>
              <c:f>'Min. Expl. By Commodity'!$P$10:$P$19</c:f>
              <c:numCache>
                <c:formatCode>#,##0</c:formatCode>
                <c:ptCount val="10"/>
                <c:pt idx="0">
                  <c:v>661.29999999999973</c:v>
                </c:pt>
                <c:pt idx="1">
                  <c:v>550.09999999999991</c:v>
                </c:pt>
                <c:pt idx="2">
                  <c:v>536.79999999999995</c:v>
                </c:pt>
                <c:pt idx="3">
                  <c:v>774.3</c:v>
                </c:pt>
                <c:pt idx="4">
                  <c:v>905.69999999999982</c:v>
                </c:pt>
                <c:pt idx="5">
                  <c:v>1078.7000000000003</c:v>
                </c:pt>
                <c:pt idx="6">
                  <c:v>1109.5999999999999</c:v>
                </c:pt>
                <c:pt idx="7">
                  <c:v>1383.3000000000006</c:v>
                </c:pt>
                <c:pt idx="8">
                  <c:v>1578.4999999999995</c:v>
                </c:pt>
                <c:pt idx="9">
                  <c:v>1624.3999999999996</c:v>
                </c:pt>
              </c:numCache>
            </c:numRef>
          </c:val>
          <c:extLst>
            <c:ext xmlns:c16="http://schemas.microsoft.com/office/drawing/2014/chart" uri="{C3380CC4-5D6E-409C-BE32-E72D297353CC}">
              <c16:uniqueId val="{00000001-F99C-46E4-908F-D75E28156847}"/>
            </c:ext>
          </c:extLst>
        </c:ser>
        <c:dLbls>
          <c:showLegendKey val="0"/>
          <c:showVal val="0"/>
          <c:showCatName val="0"/>
          <c:showSerName val="0"/>
          <c:showPercent val="0"/>
          <c:showBubbleSize val="0"/>
        </c:dLbls>
        <c:gapWidth val="150"/>
        <c:overlap val="100"/>
        <c:axId val="465821200"/>
        <c:axId val="553162656"/>
      </c:barChart>
      <c:lineChart>
        <c:grouping val="standard"/>
        <c:varyColors val="0"/>
        <c:ser>
          <c:idx val="2"/>
          <c:order val="3"/>
          <c:spPr>
            <a:ln w="28575" cap="rnd">
              <a:solidFill>
                <a:srgbClr val="FFFFFF">
                  <a:alpha val="0"/>
                </a:srgbClr>
              </a:solidFill>
              <a:round/>
            </a:ln>
            <a:effectLst/>
          </c:spPr>
          <c:marker>
            <c:symbol val="none"/>
          </c:marker>
          <c:val>
            <c:numRef>
              <c:f>'Min. Expl. By Commodity'!$K$10:$K$19</c:f>
              <c:numCache>
                <c:formatCode>#,##0</c:formatCode>
                <c:ptCount val="10"/>
                <c:pt idx="0">
                  <c:v>1839.5</c:v>
                </c:pt>
                <c:pt idx="1">
                  <c:v>1438.6</c:v>
                </c:pt>
                <c:pt idx="2">
                  <c:v>1426.9</c:v>
                </c:pt>
                <c:pt idx="3">
                  <c:v>1753.8000000000002</c:v>
                </c:pt>
                <c:pt idx="4">
                  <c:v>2183.6000000000004</c:v>
                </c:pt>
                <c:pt idx="5">
                  <c:v>2648.4</c:v>
                </c:pt>
                <c:pt idx="6">
                  <c:v>2808.8</c:v>
                </c:pt>
                <c:pt idx="7">
                  <c:v>3596.1000000000004</c:v>
                </c:pt>
                <c:pt idx="8">
                  <c:v>4060.0999999999995</c:v>
                </c:pt>
                <c:pt idx="9">
                  <c:v>4260.6000000000004</c:v>
                </c:pt>
              </c:numCache>
            </c:numRef>
          </c:val>
          <c:smooth val="0"/>
          <c:extLst>
            <c:ext xmlns:c16="http://schemas.microsoft.com/office/drawing/2014/chart" uri="{C3380CC4-5D6E-409C-BE32-E72D297353CC}">
              <c16:uniqueId val="{00000002-F99C-46E4-908F-D75E28156847}"/>
            </c:ext>
          </c:extLst>
        </c:ser>
        <c:dLbls>
          <c:showLegendKey val="0"/>
          <c:showVal val="0"/>
          <c:showCatName val="0"/>
          <c:showSerName val="0"/>
          <c:showPercent val="0"/>
          <c:showBubbleSize val="0"/>
        </c:dLbls>
        <c:marker val="1"/>
        <c:smooth val="0"/>
        <c:axId val="465821200"/>
        <c:axId val="553162656"/>
      </c:lineChart>
      <c:lineChart>
        <c:grouping val="standard"/>
        <c:varyColors val="0"/>
        <c:ser>
          <c:idx val="3"/>
          <c:order val="2"/>
          <c:tx>
            <c:strRef>
              <c:f>'Min. Expl. By Commodity'!$R$9</c:f>
              <c:strCache>
                <c:ptCount val="1"/>
                <c:pt idx="0">
                  <c:v>Western Australia Share of Australia</c:v>
                </c:pt>
              </c:strCache>
            </c:strRef>
          </c:tx>
          <c:spPr>
            <a:ln w="28575" cap="rnd">
              <a:solidFill>
                <a:srgbClr val="E6883B"/>
              </a:solidFill>
              <a:round/>
            </a:ln>
            <a:effectLst/>
          </c:spPr>
          <c:marker>
            <c:symbol val="none"/>
          </c:marker>
          <c:cat>
            <c:strRef>
              <c:f>'Min. Expl. By Commodity'!$N$10:$N$19</c:f>
              <c:strCache>
                <c:ptCount val="10"/>
                <c:pt idx="0">
                  <c:v>2014-15</c:v>
                </c:pt>
                <c:pt idx="1">
                  <c:v>2015-16</c:v>
                </c:pt>
                <c:pt idx="2">
                  <c:v>2016-17</c:v>
                </c:pt>
                <c:pt idx="3">
                  <c:v>2017-18</c:v>
                </c:pt>
                <c:pt idx="4">
                  <c:v>2018-19</c:v>
                </c:pt>
                <c:pt idx="5">
                  <c:v>2019-20</c:v>
                </c:pt>
                <c:pt idx="6">
                  <c:v>2020-21</c:v>
                </c:pt>
                <c:pt idx="7">
                  <c:v>2021-22</c:v>
                </c:pt>
                <c:pt idx="8">
                  <c:v>2022-23</c:v>
                </c:pt>
                <c:pt idx="9">
                  <c:v>2023-24</c:v>
                </c:pt>
              </c:strCache>
            </c:strRef>
          </c:cat>
          <c:val>
            <c:numRef>
              <c:f>'Min. Expl. By Commodity'!$R$10:$R$19</c:f>
              <c:numCache>
                <c:formatCode>0%</c:formatCode>
                <c:ptCount val="10"/>
                <c:pt idx="0">
                  <c:v>0.58111104072971442</c:v>
                </c:pt>
                <c:pt idx="1">
                  <c:v>0.61290549574273456</c:v>
                </c:pt>
                <c:pt idx="2">
                  <c:v>0.6570187208485081</c:v>
                </c:pt>
                <c:pt idx="3">
                  <c:v>0.60850439882697949</c:v>
                </c:pt>
                <c:pt idx="4">
                  <c:v>0.61420173794513555</c:v>
                </c:pt>
                <c:pt idx="5">
                  <c:v>0.61083050725160537</c:v>
                </c:pt>
                <c:pt idx="6">
                  <c:v>0.64904956194452357</c:v>
                </c:pt>
                <c:pt idx="7">
                  <c:v>0.6418084362619435</c:v>
                </c:pt>
                <c:pt idx="8">
                  <c:v>0.61811099820970639</c:v>
                </c:pt>
                <c:pt idx="9">
                  <c:v>0.61320125726259644</c:v>
                </c:pt>
              </c:numCache>
            </c:numRef>
          </c:val>
          <c:smooth val="0"/>
          <c:extLst>
            <c:ext xmlns:c16="http://schemas.microsoft.com/office/drawing/2014/chart" uri="{C3380CC4-5D6E-409C-BE32-E72D297353CC}">
              <c16:uniqueId val="{00000003-F99C-46E4-908F-D75E28156847}"/>
            </c:ext>
          </c:extLst>
        </c:ser>
        <c:dLbls>
          <c:showLegendKey val="0"/>
          <c:showVal val="0"/>
          <c:showCatName val="0"/>
          <c:showSerName val="0"/>
          <c:showPercent val="0"/>
          <c:showBubbleSize val="0"/>
        </c:dLbls>
        <c:marker val="1"/>
        <c:smooth val="0"/>
        <c:axId val="465817952"/>
        <c:axId val="553145376"/>
      </c:lineChart>
      <c:catAx>
        <c:axId val="465821200"/>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AU" sz="900" b="1">
                    <a:solidFill>
                      <a:sysClr val="windowText" lastClr="000000"/>
                    </a:solidFill>
                  </a:rPr>
                  <a:t>Source: ABS</a:t>
                </a:r>
              </a:p>
            </c:rich>
          </c:tx>
          <c:layout>
            <c:manualLayout>
              <c:xMode val="edge"/>
              <c:yMode val="edge"/>
              <c:x val="1.7958518518518506E-2"/>
              <c:y val="0.9330249999999999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cross"/>
        <c:minorTickMark val="none"/>
        <c:tickLblPos val="nextTo"/>
        <c:spPr>
          <a:noFill/>
          <a:ln w="9525" cap="flat" cmpd="sng" algn="ctr">
            <a:solidFill>
              <a:schemeClr val="tx1">
                <a:lumMod val="75000"/>
                <a:lumOff val="25000"/>
              </a:schemeClr>
            </a:solidFill>
            <a:round/>
          </a:ln>
          <a:effectLst/>
        </c:spPr>
        <c:txPr>
          <a:bodyPr rot="-2700000" spcFirstLastPara="1" vertOverflow="ellipsis" wrap="square" anchor="ctr" anchorCtr="1"/>
          <a:lstStyle/>
          <a:p>
            <a:pPr>
              <a:defRPr sz="900" b="0" i="0" u="none" strike="noStrike" kern="1200" baseline="0">
                <a:solidFill>
                  <a:schemeClr val="tx1">
                    <a:lumMod val="75000"/>
                    <a:lumOff val="25000"/>
                  </a:schemeClr>
                </a:solidFill>
                <a:latin typeface="+mn-lt"/>
                <a:ea typeface="+mn-ea"/>
                <a:cs typeface="+mn-cs"/>
              </a:defRPr>
            </a:pPr>
            <a:endParaRPr lang="en-US"/>
          </a:p>
        </c:txPr>
        <c:crossAx val="553162656"/>
        <c:crosses val="autoZero"/>
        <c:auto val="1"/>
        <c:lblAlgn val="ctr"/>
        <c:lblOffset val="100"/>
        <c:noMultiLvlLbl val="0"/>
      </c:catAx>
      <c:valAx>
        <c:axId val="553162656"/>
        <c:scaling>
          <c:orientation val="minMax"/>
          <c:min val="0"/>
        </c:scaling>
        <c:delete val="0"/>
        <c:axPos val="l"/>
        <c:majorGridlines>
          <c:spPr>
            <a:ln w="9525" cap="flat" cmpd="sng" algn="ctr">
              <a:solidFill>
                <a:schemeClr val="tx1">
                  <a:lumMod val="75000"/>
                  <a:lumOff val="2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AU" b="1">
                    <a:solidFill>
                      <a:sysClr val="windowText" lastClr="000000"/>
                    </a:solidFill>
                  </a:rPr>
                  <a:t>$ Million</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 sourceLinked="1"/>
        <c:majorTickMark val="cross"/>
        <c:minorTickMark val="none"/>
        <c:tickLblPos val="nextTo"/>
        <c:spPr>
          <a:noFill/>
          <a:ln>
            <a:solidFill>
              <a:schemeClr val="tx1">
                <a:lumMod val="75000"/>
                <a:lumOff val="25000"/>
              </a:schemeClr>
            </a:solidFill>
          </a:ln>
          <a:effectLst/>
        </c:spPr>
        <c:txPr>
          <a:bodyPr rot="-60000000" spcFirstLastPara="1" vertOverflow="ellipsis" vert="horz" wrap="square" anchor="ctr" anchorCtr="1"/>
          <a:lstStyle/>
          <a:p>
            <a:pPr>
              <a:defRPr sz="900" b="0" i="0" u="none" strike="noStrike" kern="1200" baseline="0">
                <a:solidFill>
                  <a:schemeClr val="tx1">
                    <a:lumMod val="75000"/>
                    <a:lumOff val="25000"/>
                  </a:schemeClr>
                </a:solidFill>
                <a:latin typeface="+mn-lt"/>
                <a:ea typeface="+mn-ea"/>
                <a:cs typeface="+mn-cs"/>
              </a:defRPr>
            </a:pPr>
            <a:endParaRPr lang="en-US"/>
          </a:p>
        </c:txPr>
        <c:crossAx val="465821200"/>
        <c:crosses val="autoZero"/>
        <c:crossBetween val="between"/>
      </c:valAx>
      <c:valAx>
        <c:axId val="553145376"/>
        <c:scaling>
          <c:orientation val="minMax"/>
          <c:max val="1"/>
          <c:min val="0"/>
        </c:scaling>
        <c:delete val="0"/>
        <c:axPos val="r"/>
        <c:numFmt formatCode="0%" sourceLinked="1"/>
        <c:majorTickMark val="cross"/>
        <c:minorTickMark val="none"/>
        <c:tickLblPos val="nextTo"/>
        <c:spPr>
          <a:noFill/>
          <a:ln>
            <a:solidFill>
              <a:schemeClr val="tx1">
                <a:lumMod val="75000"/>
                <a:lumOff val="25000"/>
              </a:schemeClr>
            </a:solidFill>
          </a:ln>
          <a:effectLst/>
        </c:spPr>
        <c:txPr>
          <a:bodyPr rot="-60000000" spcFirstLastPara="1" vertOverflow="ellipsis" vert="horz" wrap="square" anchor="ctr" anchorCtr="1"/>
          <a:lstStyle/>
          <a:p>
            <a:pPr>
              <a:defRPr sz="900" b="0" i="0" u="none" strike="noStrike" kern="1200" baseline="0">
                <a:solidFill>
                  <a:schemeClr val="tx1">
                    <a:lumMod val="75000"/>
                    <a:lumOff val="25000"/>
                  </a:schemeClr>
                </a:solidFill>
                <a:latin typeface="+mn-lt"/>
                <a:ea typeface="+mn-ea"/>
                <a:cs typeface="+mn-cs"/>
              </a:defRPr>
            </a:pPr>
            <a:endParaRPr lang="en-US"/>
          </a:p>
        </c:txPr>
        <c:crossAx val="465817952"/>
        <c:crosses val="max"/>
        <c:crossBetween val="between"/>
        <c:majorUnit val="0.2"/>
      </c:valAx>
      <c:catAx>
        <c:axId val="465817952"/>
        <c:scaling>
          <c:orientation val="minMax"/>
        </c:scaling>
        <c:delete val="1"/>
        <c:axPos val="b"/>
        <c:numFmt formatCode="General" sourceLinked="1"/>
        <c:majorTickMark val="none"/>
        <c:minorTickMark val="none"/>
        <c:tickLblPos val="nextTo"/>
        <c:crossAx val="553145376"/>
        <c:crosses val="autoZero"/>
        <c:auto val="1"/>
        <c:lblAlgn val="ctr"/>
        <c:lblOffset val="100"/>
        <c:noMultiLvlLbl val="0"/>
      </c:catAx>
      <c:spPr>
        <a:noFill/>
        <a:ln>
          <a:noFill/>
        </a:ln>
        <a:effectLst/>
      </c:spPr>
    </c:plotArea>
    <c:legend>
      <c:legendPos val="t"/>
      <c:legendEntry>
        <c:idx val="2"/>
        <c:delete val="1"/>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75000"/>
          <a:lumOff val="2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a:defRPr/>
            </a:pPr>
            <a:r>
              <a:rPr lang="en-AU" sz="1300"/>
              <a:t>Western Australia Mineral Exploration</a:t>
            </a:r>
            <a:r>
              <a:rPr lang="en-AU" sz="1300" baseline="0"/>
              <a:t> Expenditure By Type</a:t>
            </a:r>
            <a:endParaRPr lang="en-AU" sz="1300"/>
          </a:p>
          <a:p>
            <a:pPr>
              <a:defRPr/>
            </a:pPr>
            <a:r>
              <a:rPr lang="en-AU" sz="1100"/>
              <a:t>Last 10 Calendar Years</a:t>
            </a:r>
          </a:p>
        </c:rich>
      </c:tx>
      <c:layout>
        <c:manualLayout>
          <c:xMode val="edge"/>
          <c:yMode val="edge"/>
          <c:x val="0.25868636075474333"/>
          <c:y val="3.5368436088346097E-2"/>
        </c:manualLayout>
      </c:layout>
      <c:overlay val="0"/>
    </c:title>
    <c:autoTitleDeleted val="0"/>
    <c:plotArea>
      <c:layout>
        <c:manualLayout>
          <c:layoutTarget val="inner"/>
          <c:xMode val="edge"/>
          <c:yMode val="edge"/>
          <c:x val="8.27458494326474E-2"/>
          <c:y val="0.17513498320330534"/>
          <c:w val="0.86444629244840809"/>
          <c:h val="0.70918972862659169"/>
        </c:manualLayout>
      </c:layout>
      <c:barChart>
        <c:barDir val="col"/>
        <c:grouping val="stacked"/>
        <c:varyColors val="0"/>
        <c:ser>
          <c:idx val="2"/>
          <c:order val="0"/>
          <c:tx>
            <c:v>New deposits</c:v>
          </c:tx>
          <c:spPr>
            <a:solidFill>
              <a:srgbClr val="F79646"/>
            </a:solidFill>
          </c:spPr>
          <c:invertIfNegative val="0"/>
          <c:cat>
            <c:numRef>
              <c:f>'Min. Expl. By Type'!$M$8:$M$17</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'Min. Expl. By Type'!$N$8:$N$17</c:f>
              <c:numCache>
                <c:formatCode>#,##0</c:formatCode>
                <c:ptCount val="10"/>
                <c:pt idx="0">
                  <c:v>290</c:v>
                </c:pt>
                <c:pt idx="1">
                  <c:v>230.39999999999998</c:v>
                </c:pt>
                <c:pt idx="2">
                  <c:v>267.5</c:v>
                </c:pt>
                <c:pt idx="3">
                  <c:v>339.1</c:v>
                </c:pt>
                <c:pt idx="4">
                  <c:v>501.70000000000005</c:v>
                </c:pt>
                <c:pt idx="5">
                  <c:v>696</c:v>
                </c:pt>
                <c:pt idx="6">
                  <c:v>577.40000000000009</c:v>
                </c:pt>
                <c:pt idx="7">
                  <c:v>780.2</c:v>
                </c:pt>
                <c:pt idx="8">
                  <c:v>794</c:v>
                </c:pt>
                <c:pt idx="9">
                  <c:v>792.2</c:v>
                </c:pt>
              </c:numCache>
            </c:numRef>
          </c:val>
          <c:extLst>
            <c:ext xmlns:c16="http://schemas.microsoft.com/office/drawing/2014/chart" uri="{C3380CC4-5D6E-409C-BE32-E72D297353CC}">
              <c16:uniqueId val="{00000000-C680-44F9-A968-160DE216F18A}"/>
            </c:ext>
          </c:extLst>
        </c:ser>
        <c:ser>
          <c:idx val="3"/>
          <c:order val="1"/>
          <c:tx>
            <c:v>Existing deposits</c:v>
          </c:tx>
          <c:spPr>
            <a:solidFill>
              <a:srgbClr val="FAC090"/>
            </a:solidFill>
          </c:spPr>
          <c:invertIfNegative val="0"/>
          <c:cat>
            <c:numRef>
              <c:f>'Min. Expl. By Type'!$M$8:$M$17</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'Min. Expl. By Type'!$Q$8:$Q$17</c:f>
              <c:numCache>
                <c:formatCode>#,##0</c:formatCode>
                <c:ptCount val="10"/>
                <c:pt idx="0">
                  <c:v>755.4</c:v>
                </c:pt>
                <c:pt idx="1">
                  <c:v>613.20000000000005</c:v>
                </c:pt>
                <c:pt idx="2">
                  <c:v>660.09999999999991</c:v>
                </c:pt>
                <c:pt idx="3">
                  <c:v>769.9</c:v>
                </c:pt>
                <c:pt idx="4">
                  <c:v>816.7</c:v>
                </c:pt>
                <c:pt idx="5">
                  <c:v>952.19999999999993</c:v>
                </c:pt>
                <c:pt idx="6">
                  <c:v>1180.2</c:v>
                </c:pt>
                <c:pt idx="7">
                  <c:v>1571</c:v>
                </c:pt>
                <c:pt idx="8">
                  <c:v>1752.8999999999999</c:v>
                </c:pt>
                <c:pt idx="9">
                  <c:v>1809</c:v>
                </c:pt>
              </c:numCache>
            </c:numRef>
          </c:val>
          <c:extLst>
            <c:ext xmlns:c16="http://schemas.microsoft.com/office/drawing/2014/chart" uri="{C3380CC4-5D6E-409C-BE32-E72D297353CC}">
              <c16:uniqueId val="{00000001-C680-44F9-A968-160DE216F18A}"/>
            </c:ext>
          </c:extLst>
        </c:ser>
        <c:dLbls>
          <c:showLegendKey val="0"/>
          <c:showVal val="0"/>
          <c:showCatName val="0"/>
          <c:showSerName val="0"/>
          <c:showPercent val="0"/>
          <c:showBubbleSize val="0"/>
        </c:dLbls>
        <c:gapWidth val="150"/>
        <c:overlap val="100"/>
        <c:axId val="422924288"/>
        <c:axId val="422926208"/>
      </c:barChart>
      <c:lineChart>
        <c:grouping val="standard"/>
        <c:varyColors val="0"/>
        <c:ser>
          <c:idx val="0"/>
          <c:order val="2"/>
          <c:tx>
            <c:strRef>
              <c:f>'Min. Expl. By Type'!$T$7</c:f>
              <c:strCache>
                <c:ptCount val="1"/>
                <c:pt idx="0">
                  <c:v>Western Australia Share of Australia New Deposits</c:v>
                </c:pt>
              </c:strCache>
            </c:strRef>
          </c:tx>
          <c:spPr>
            <a:ln w="28575"/>
          </c:spPr>
          <c:marker>
            <c:symbol val="none"/>
          </c:marker>
          <c:cat>
            <c:numRef>
              <c:f>'Min. Expl. By Type'!$M$8:$M$17</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'Min. Expl. By Type'!$T$8:$T$17</c:f>
              <c:numCache>
                <c:formatCode>0%</c:formatCode>
                <c:ptCount val="10"/>
                <c:pt idx="0">
                  <c:v>0.53220774454028263</c:v>
                </c:pt>
                <c:pt idx="1">
                  <c:v>0.54071814128138929</c:v>
                </c:pt>
                <c:pt idx="2">
                  <c:v>0.61367286074787797</c:v>
                </c:pt>
                <c:pt idx="3">
                  <c:v>0.60510349750178438</c:v>
                </c:pt>
                <c:pt idx="4">
                  <c:v>0.62688991628139457</c:v>
                </c:pt>
                <c:pt idx="5">
                  <c:v>0.65865430112614753</c:v>
                </c:pt>
                <c:pt idx="6">
                  <c:v>0.60346989966555187</c:v>
                </c:pt>
                <c:pt idx="7">
                  <c:v>0.64570057105023593</c:v>
                </c:pt>
                <c:pt idx="8">
                  <c:v>0.62559092341632527</c:v>
                </c:pt>
                <c:pt idx="9">
                  <c:v>0.59194500485690804</c:v>
                </c:pt>
              </c:numCache>
            </c:numRef>
          </c:val>
          <c:smooth val="0"/>
          <c:extLst>
            <c:ext xmlns:c16="http://schemas.microsoft.com/office/drawing/2014/chart" uri="{C3380CC4-5D6E-409C-BE32-E72D297353CC}">
              <c16:uniqueId val="{00000002-C680-44F9-A968-160DE216F18A}"/>
            </c:ext>
          </c:extLst>
        </c:ser>
        <c:ser>
          <c:idx val="1"/>
          <c:order val="3"/>
          <c:tx>
            <c:strRef>
              <c:f>'Min. Expl. By Type'!$U$7</c:f>
              <c:strCache>
                <c:ptCount val="1"/>
                <c:pt idx="0">
                  <c:v>Western Australia Share of Australia Existing Deposits</c:v>
                </c:pt>
              </c:strCache>
            </c:strRef>
          </c:tx>
          <c:spPr>
            <a:ln w="28575">
              <a:solidFill>
                <a:srgbClr val="EFB179"/>
              </a:solidFill>
            </a:ln>
          </c:spPr>
          <c:marker>
            <c:symbol val="none"/>
          </c:marker>
          <c:cat>
            <c:numRef>
              <c:f>'Min. Expl. By Type'!$M$8:$M$17</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'Min. Expl. By Type'!$U$8:$U$17</c:f>
              <c:numCache>
                <c:formatCode>0%</c:formatCode>
                <c:ptCount val="10"/>
                <c:pt idx="0">
                  <c:v>0.58359085290482071</c:v>
                </c:pt>
                <c:pt idx="1">
                  <c:v>0.60527095054782365</c:v>
                </c:pt>
                <c:pt idx="2">
                  <c:v>0.66616207488142076</c:v>
                </c:pt>
                <c:pt idx="3">
                  <c:v>0.64513155689626267</c:v>
                </c:pt>
                <c:pt idx="4">
                  <c:v>0.59014379651708948</c:v>
                </c:pt>
                <c:pt idx="5">
                  <c:v>0.59822830935477789</c:v>
                </c:pt>
                <c:pt idx="6">
                  <c:v>0.637291430422809</c:v>
                </c:pt>
                <c:pt idx="7">
                  <c:v>0.65792779964821169</c:v>
                </c:pt>
                <c:pt idx="8">
                  <c:v>0.62807696442007954</c:v>
                </c:pt>
                <c:pt idx="9">
                  <c:v>0.61901177114700234</c:v>
                </c:pt>
              </c:numCache>
            </c:numRef>
          </c:val>
          <c:smooth val="0"/>
          <c:extLst>
            <c:ext xmlns:c16="http://schemas.microsoft.com/office/drawing/2014/chart" uri="{C3380CC4-5D6E-409C-BE32-E72D297353CC}">
              <c16:uniqueId val="{00000003-C680-44F9-A968-160DE216F18A}"/>
            </c:ext>
          </c:extLst>
        </c:ser>
        <c:dLbls>
          <c:showLegendKey val="0"/>
          <c:showVal val="0"/>
          <c:showCatName val="0"/>
          <c:showSerName val="0"/>
          <c:showPercent val="0"/>
          <c:showBubbleSize val="0"/>
        </c:dLbls>
        <c:marker val="1"/>
        <c:smooth val="0"/>
        <c:axId val="1266064216"/>
        <c:axId val="1266060608"/>
      </c:lineChart>
      <c:catAx>
        <c:axId val="422924288"/>
        <c:scaling>
          <c:orientation val="minMax"/>
        </c:scaling>
        <c:delete val="0"/>
        <c:axPos val="b"/>
        <c:title>
          <c:tx>
            <c:rich>
              <a:bodyPr/>
              <a:lstStyle/>
              <a:p>
                <a:pPr>
                  <a:defRPr sz="900"/>
                </a:pPr>
                <a:r>
                  <a:rPr lang="en-AU" sz="900"/>
                  <a:t>Source: ABS</a:t>
                </a:r>
              </a:p>
            </c:rich>
          </c:tx>
          <c:layout>
            <c:manualLayout>
              <c:xMode val="edge"/>
              <c:yMode val="edge"/>
              <c:x val="9.0527601012576307E-3"/>
              <c:y val="0.96258436501214473"/>
            </c:manualLayout>
          </c:layout>
          <c:overlay val="0"/>
        </c:title>
        <c:numFmt formatCode="General" sourceLinked="1"/>
        <c:majorTickMark val="out"/>
        <c:minorTickMark val="none"/>
        <c:tickLblPos val="nextTo"/>
        <c:txPr>
          <a:bodyPr rot="-2700000"/>
          <a:lstStyle/>
          <a:p>
            <a:pPr>
              <a:defRPr/>
            </a:pPr>
            <a:endParaRPr lang="en-US"/>
          </a:p>
        </c:txPr>
        <c:crossAx val="422926208"/>
        <c:crosses val="autoZero"/>
        <c:auto val="1"/>
        <c:lblAlgn val="ctr"/>
        <c:lblOffset val="100"/>
        <c:noMultiLvlLbl val="0"/>
      </c:catAx>
      <c:valAx>
        <c:axId val="422926208"/>
        <c:scaling>
          <c:orientation val="minMax"/>
          <c:max val="4000"/>
        </c:scaling>
        <c:delete val="0"/>
        <c:axPos val="l"/>
        <c:majorGridlines/>
        <c:title>
          <c:tx>
            <c:rich>
              <a:bodyPr rot="-5400000" vert="horz"/>
              <a:lstStyle/>
              <a:p>
                <a:pPr>
                  <a:defRPr/>
                </a:pPr>
                <a:r>
                  <a:rPr lang="en-AU"/>
                  <a:t>$ Million</a:t>
                </a:r>
              </a:p>
            </c:rich>
          </c:tx>
          <c:overlay val="0"/>
        </c:title>
        <c:numFmt formatCode="#,##0" sourceLinked="0"/>
        <c:majorTickMark val="out"/>
        <c:minorTickMark val="none"/>
        <c:tickLblPos val="nextTo"/>
        <c:crossAx val="422924288"/>
        <c:crosses val="autoZero"/>
        <c:crossBetween val="between"/>
        <c:majorUnit val="1000"/>
      </c:valAx>
      <c:valAx>
        <c:axId val="1266060608"/>
        <c:scaling>
          <c:orientation val="minMax"/>
          <c:max val="1"/>
        </c:scaling>
        <c:delete val="0"/>
        <c:axPos val="r"/>
        <c:numFmt formatCode="0%" sourceLinked="0"/>
        <c:majorTickMark val="out"/>
        <c:minorTickMark val="none"/>
        <c:tickLblPos val="nextTo"/>
        <c:crossAx val="1266064216"/>
        <c:crosses val="max"/>
        <c:crossBetween val="between"/>
        <c:majorUnit val="0.25"/>
      </c:valAx>
      <c:catAx>
        <c:axId val="1266064216"/>
        <c:scaling>
          <c:orientation val="minMax"/>
        </c:scaling>
        <c:delete val="1"/>
        <c:axPos val="b"/>
        <c:numFmt formatCode="General" sourceLinked="1"/>
        <c:majorTickMark val="out"/>
        <c:minorTickMark val="none"/>
        <c:tickLblPos val="nextTo"/>
        <c:crossAx val="1266060608"/>
        <c:crosses val="autoZero"/>
        <c:auto val="1"/>
        <c:lblAlgn val="ctr"/>
        <c:lblOffset val="100"/>
        <c:noMultiLvlLbl val="0"/>
      </c:catAx>
    </c:plotArea>
    <c:legend>
      <c:legendPos val="t"/>
      <c:layout>
        <c:manualLayout>
          <c:xMode val="edge"/>
          <c:yMode val="edge"/>
          <c:x val="6.9485077839313569E-2"/>
          <c:y val="0.11660229296967076"/>
          <c:w val="0.8999999123283059"/>
          <c:h val="4.654545616687316E-2"/>
        </c:manualLayout>
      </c:layout>
      <c:overlay val="0"/>
      <c:txPr>
        <a:bodyPr/>
        <a:lstStyle/>
        <a:p>
          <a:pPr>
            <a:defRPr sz="1000"/>
          </a:pPr>
          <a:endParaRPr lang="en-US"/>
        </a:p>
      </c:txPr>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r>
              <a:rPr lang="en-AU" sz="1300" b="1" i="0" baseline="0">
                <a:effectLst/>
              </a:rPr>
              <a:t>Western Australia Mineral Exploration Expenditure By Type</a:t>
            </a:r>
            <a:endParaRPr lang="en-AU" sz="1300">
              <a:effectLst/>
            </a:endParaRPr>
          </a:p>
          <a:p>
            <a:pPr>
              <a:defRPr/>
            </a:pPr>
            <a:r>
              <a:rPr lang="en-AU" sz="1100"/>
              <a:t>Last 10 Financial Years</a:t>
            </a:r>
          </a:p>
        </c:rich>
      </c:tx>
      <c:layout>
        <c:manualLayout>
          <c:xMode val="edge"/>
          <c:yMode val="edge"/>
          <c:x val="0.30932992202577664"/>
          <c:y val="2.6905881326474458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n-AU"/>
        </a:p>
      </c:txPr>
    </c:title>
    <c:autoTitleDeleted val="0"/>
    <c:plotArea>
      <c:layout>
        <c:manualLayout>
          <c:layoutTarget val="inner"/>
          <c:xMode val="edge"/>
          <c:yMode val="edge"/>
          <c:x val="7.8455640670064303E-2"/>
          <c:y val="0.17845807247116902"/>
          <c:w val="0.87147448429036667"/>
          <c:h val="0.67234255293187328"/>
        </c:manualLayout>
      </c:layout>
      <c:barChart>
        <c:barDir val="col"/>
        <c:grouping val="stacked"/>
        <c:varyColors val="0"/>
        <c:ser>
          <c:idx val="1"/>
          <c:order val="0"/>
          <c:tx>
            <c:v>New deposits</c:v>
          </c:tx>
          <c:spPr>
            <a:solidFill>
              <a:srgbClr val="F79646"/>
            </a:solidFill>
            <a:ln>
              <a:noFill/>
            </a:ln>
            <a:effectLst/>
          </c:spPr>
          <c:invertIfNegative val="0"/>
          <c:dPt>
            <c:idx val="9"/>
            <c:invertIfNegative val="0"/>
            <c:bubble3D val="0"/>
            <c:spPr>
              <a:solidFill>
                <a:srgbClr val="F79646"/>
              </a:solidFill>
              <a:ln>
                <a:noFill/>
              </a:ln>
              <a:effectLst/>
            </c:spPr>
            <c:extLst>
              <c:ext xmlns:c16="http://schemas.microsoft.com/office/drawing/2014/chart" uri="{C3380CC4-5D6E-409C-BE32-E72D297353CC}">
                <c16:uniqueId val="{00000001-448C-4E2D-B124-98B0592A6457}"/>
              </c:ext>
            </c:extLst>
          </c:dPt>
          <c:cat>
            <c:strLit>
              <c:ptCount val="10"/>
              <c:pt idx="0">
                <c:v>2013-14</c:v>
              </c:pt>
              <c:pt idx="1">
                <c:v>2014-15</c:v>
              </c:pt>
              <c:pt idx="2">
                <c:v>2015-16</c:v>
              </c:pt>
              <c:pt idx="3">
                <c:v>2016-17</c:v>
              </c:pt>
              <c:pt idx="4">
                <c:v>2017-18</c:v>
              </c:pt>
              <c:pt idx="5">
                <c:v>2018-19</c:v>
              </c:pt>
              <c:pt idx="6">
                <c:v>2019-20</c:v>
              </c:pt>
              <c:pt idx="7">
                <c:v>2020-21</c:v>
              </c:pt>
              <c:pt idx="8">
                <c:v>2021-22</c:v>
              </c:pt>
              <c:pt idx="9">
                <c:v>2022-23</c:v>
              </c:pt>
            </c:strLit>
          </c:cat>
          <c:val>
            <c:numRef>
              <c:f>'Min. Expl. By Type'!$Y$8:$Y$17</c:f>
              <c:numCache>
                <c:formatCode>#,##0</c:formatCode>
                <c:ptCount val="10"/>
                <c:pt idx="0">
                  <c:v>250.8</c:v>
                </c:pt>
                <c:pt idx="1">
                  <c:v>241.40000000000003</c:v>
                </c:pt>
                <c:pt idx="2">
                  <c:v>295.3</c:v>
                </c:pt>
                <c:pt idx="3">
                  <c:v>405.90000000000003</c:v>
                </c:pt>
                <c:pt idx="4">
                  <c:v>598.5</c:v>
                </c:pt>
                <c:pt idx="5">
                  <c:v>651.4</c:v>
                </c:pt>
                <c:pt idx="6">
                  <c:v>683.30000000000007</c:v>
                </c:pt>
                <c:pt idx="7">
                  <c:v>758.5</c:v>
                </c:pt>
                <c:pt idx="8">
                  <c:v>816.40000000000009</c:v>
                </c:pt>
                <c:pt idx="9">
                  <c:v>730.9</c:v>
                </c:pt>
              </c:numCache>
            </c:numRef>
          </c:val>
          <c:extLst>
            <c:ext xmlns:c16="http://schemas.microsoft.com/office/drawing/2014/chart" uri="{C3380CC4-5D6E-409C-BE32-E72D297353CC}">
              <c16:uniqueId val="{00000002-448C-4E2D-B124-98B0592A6457}"/>
            </c:ext>
          </c:extLst>
        </c:ser>
        <c:ser>
          <c:idx val="3"/>
          <c:order val="1"/>
          <c:tx>
            <c:v>Existing deposits</c:v>
          </c:tx>
          <c:spPr>
            <a:solidFill>
              <a:srgbClr val="FAC090"/>
            </a:solidFill>
            <a:ln>
              <a:noFill/>
            </a:ln>
            <a:effectLst/>
          </c:spPr>
          <c:invertIfNegative val="0"/>
          <c:cat>
            <c:strLit>
              <c:ptCount val="10"/>
              <c:pt idx="0">
                <c:v>2013-14</c:v>
              </c:pt>
              <c:pt idx="1">
                <c:v>2014-15</c:v>
              </c:pt>
              <c:pt idx="2">
                <c:v>2015-16</c:v>
              </c:pt>
              <c:pt idx="3">
                <c:v>2016-17</c:v>
              </c:pt>
              <c:pt idx="4">
                <c:v>2017-18</c:v>
              </c:pt>
              <c:pt idx="5">
                <c:v>2018-19</c:v>
              </c:pt>
              <c:pt idx="6">
                <c:v>2019-20</c:v>
              </c:pt>
              <c:pt idx="7">
                <c:v>2020-21</c:v>
              </c:pt>
              <c:pt idx="8">
                <c:v>2021-22</c:v>
              </c:pt>
              <c:pt idx="9">
                <c:v>2022-23</c:v>
              </c:pt>
            </c:strLit>
          </c:cat>
          <c:val>
            <c:numRef>
              <c:f>'Min. Expl. By Type'!$AB$8:$AB$17</c:f>
              <c:numCache>
                <c:formatCode>#,##0</c:formatCode>
                <c:ptCount val="10"/>
                <c:pt idx="0">
                  <c:v>666.5</c:v>
                </c:pt>
                <c:pt idx="1">
                  <c:v>629.6</c:v>
                </c:pt>
                <c:pt idx="2">
                  <c:v>733.09999999999991</c:v>
                </c:pt>
                <c:pt idx="3">
                  <c:v>797.80000000000007</c:v>
                </c:pt>
                <c:pt idx="4">
                  <c:v>843.59999999999991</c:v>
                </c:pt>
                <c:pt idx="5">
                  <c:v>1041.8</c:v>
                </c:pt>
                <c:pt idx="6">
                  <c:v>1368.8</c:v>
                </c:pt>
                <c:pt idx="7">
                  <c:v>1720</c:v>
                </c:pt>
                <c:pt idx="8">
                  <c:v>1738.6</c:v>
                </c:pt>
                <c:pt idx="9">
                  <c:v>1844.1</c:v>
                </c:pt>
              </c:numCache>
            </c:numRef>
          </c:val>
          <c:extLst>
            <c:ext xmlns:c16="http://schemas.microsoft.com/office/drawing/2014/chart" uri="{C3380CC4-5D6E-409C-BE32-E72D297353CC}">
              <c16:uniqueId val="{00000003-448C-4E2D-B124-98B0592A6457}"/>
            </c:ext>
          </c:extLst>
        </c:ser>
        <c:dLbls>
          <c:showLegendKey val="0"/>
          <c:showVal val="0"/>
          <c:showCatName val="0"/>
          <c:showSerName val="0"/>
          <c:showPercent val="0"/>
          <c:showBubbleSize val="0"/>
        </c:dLbls>
        <c:gapWidth val="150"/>
        <c:overlap val="100"/>
        <c:axId val="427180032"/>
        <c:axId val="427181952"/>
        <c:extLst/>
      </c:barChart>
      <c:lineChart>
        <c:grouping val="standard"/>
        <c:varyColors val="0"/>
        <c:ser>
          <c:idx val="0"/>
          <c:order val="2"/>
          <c:tx>
            <c:strRef>
              <c:f>'Min. Expl. By Type'!$AE$7</c:f>
              <c:strCache>
                <c:ptCount val="1"/>
                <c:pt idx="0">
                  <c:v>Western Australia Share of Australia New Deposits</c:v>
                </c:pt>
              </c:strCache>
            </c:strRef>
          </c:tx>
          <c:spPr>
            <a:ln w="28575" cap="rnd" cmpd="sng" algn="ctr">
              <a:solidFill>
                <a:srgbClr val="CB7833"/>
              </a:solidFill>
              <a:prstDash val="solid"/>
              <a:round/>
            </a:ln>
            <a:effectLst/>
          </c:spPr>
          <c:marker>
            <c:symbol val="none"/>
          </c:marker>
          <c:cat>
            <c:strRef>
              <c:f>'Min. Expl. By Type'!$X$8:$X$17</c:f>
              <c:strCache>
                <c:ptCount val="10"/>
                <c:pt idx="0">
                  <c:v>2014-15</c:v>
                </c:pt>
                <c:pt idx="1">
                  <c:v>2015-16</c:v>
                </c:pt>
                <c:pt idx="2">
                  <c:v>2016-17</c:v>
                </c:pt>
                <c:pt idx="3">
                  <c:v>2017-18</c:v>
                </c:pt>
                <c:pt idx="4">
                  <c:v>2018-19</c:v>
                </c:pt>
                <c:pt idx="5">
                  <c:v>2019-20</c:v>
                </c:pt>
                <c:pt idx="6">
                  <c:v>2020-21</c:v>
                </c:pt>
                <c:pt idx="7">
                  <c:v>2021-22</c:v>
                </c:pt>
                <c:pt idx="8">
                  <c:v>2022-23</c:v>
                </c:pt>
                <c:pt idx="9">
                  <c:v>2023-24</c:v>
                </c:pt>
              </c:strCache>
            </c:strRef>
          </c:cat>
          <c:val>
            <c:numRef>
              <c:f>'Min. Expl. By Type'!$AE$8:$AE$17</c:f>
              <c:numCache>
                <c:formatCode>0%</c:formatCode>
                <c:ptCount val="10"/>
                <c:pt idx="0">
                  <c:v>0.51594322155934991</c:v>
                </c:pt>
                <c:pt idx="1">
                  <c:v>0.58634928345882931</c:v>
                </c:pt>
                <c:pt idx="2">
                  <c:v>0.61075491209927613</c:v>
                </c:pt>
                <c:pt idx="3">
                  <c:v>0.61046773950970079</c:v>
                </c:pt>
                <c:pt idx="4">
                  <c:v>0.65957681287194181</c:v>
                </c:pt>
                <c:pt idx="5">
                  <c:v>0.61510859301227572</c:v>
                </c:pt>
                <c:pt idx="6">
                  <c:v>0.64045365076389538</c:v>
                </c:pt>
                <c:pt idx="7">
                  <c:v>0.62161940665464688</c:v>
                </c:pt>
                <c:pt idx="8">
                  <c:v>0.62795169602338297</c:v>
                </c:pt>
                <c:pt idx="9">
                  <c:v>0.55653696794334884</c:v>
                </c:pt>
              </c:numCache>
            </c:numRef>
          </c:val>
          <c:smooth val="0"/>
          <c:extLst>
            <c:ext xmlns:c16="http://schemas.microsoft.com/office/drawing/2014/chart" uri="{C3380CC4-5D6E-409C-BE32-E72D297353CC}">
              <c16:uniqueId val="{00000004-448C-4E2D-B124-98B0592A6457}"/>
            </c:ext>
          </c:extLst>
        </c:ser>
        <c:ser>
          <c:idx val="2"/>
          <c:order val="3"/>
          <c:tx>
            <c:strRef>
              <c:f>'Min. Expl. By Type'!$AF$7</c:f>
              <c:strCache>
                <c:ptCount val="1"/>
                <c:pt idx="0">
                  <c:v>Western Australia Share of Australia Existing Deposits</c:v>
                </c:pt>
              </c:strCache>
            </c:strRef>
          </c:tx>
          <c:spPr>
            <a:ln w="28575" cap="rnd" cmpd="sng" algn="ctr">
              <a:solidFill>
                <a:srgbClr val="EFB179"/>
              </a:solidFill>
              <a:prstDash val="solid"/>
              <a:round/>
            </a:ln>
            <a:effectLst/>
          </c:spPr>
          <c:marker>
            <c:symbol val="none"/>
          </c:marker>
          <c:cat>
            <c:strRef>
              <c:f>'Min. Expl. By Type'!$X$8:$X$17</c:f>
              <c:strCache>
                <c:ptCount val="10"/>
                <c:pt idx="0">
                  <c:v>2014-15</c:v>
                </c:pt>
                <c:pt idx="1">
                  <c:v>2015-16</c:v>
                </c:pt>
                <c:pt idx="2">
                  <c:v>2016-17</c:v>
                </c:pt>
                <c:pt idx="3">
                  <c:v>2017-18</c:v>
                </c:pt>
                <c:pt idx="4">
                  <c:v>2018-19</c:v>
                </c:pt>
                <c:pt idx="5">
                  <c:v>2019-20</c:v>
                </c:pt>
                <c:pt idx="6">
                  <c:v>2020-21</c:v>
                </c:pt>
                <c:pt idx="7">
                  <c:v>2021-22</c:v>
                </c:pt>
                <c:pt idx="8">
                  <c:v>2022-23</c:v>
                </c:pt>
                <c:pt idx="9">
                  <c:v>2023-24</c:v>
                </c:pt>
              </c:strCache>
            </c:strRef>
          </c:cat>
          <c:val>
            <c:numRef>
              <c:f>'Min. Expl. By Type'!$AF$8:$AF$17</c:f>
              <c:numCache>
                <c:formatCode>0%</c:formatCode>
                <c:ptCount val="10"/>
                <c:pt idx="0">
                  <c:v>0.60962224458062753</c:v>
                </c:pt>
                <c:pt idx="1">
                  <c:v>0.62373687339013273</c:v>
                </c:pt>
                <c:pt idx="2">
                  <c:v>0.67779215976331353</c:v>
                </c:pt>
                <c:pt idx="3">
                  <c:v>0.60766242668900905</c:v>
                </c:pt>
                <c:pt idx="4">
                  <c:v>0.58550805108273174</c:v>
                </c:pt>
                <c:pt idx="5">
                  <c:v>0.60827932504233084</c:v>
                </c:pt>
                <c:pt idx="6">
                  <c:v>0.65342753484819549</c:v>
                </c:pt>
                <c:pt idx="7">
                  <c:v>0.65109588522542305</c:v>
                </c:pt>
                <c:pt idx="8">
                  <c:v>0.61360909155078702</c:v>
                </c:pt>
                <c:pt idx="9">
                  <c:v>0.63891487371375111</c:v>
                </c:pt>
              </c:numCache>
            </c:numRef>
          </c:val>
          <c:smooth val="0"/>
          <c:extLst>
            <c:ext xmlns:c16="http://schemas.microsoft.com/office/drawing/2014/chart" uri="{C3380CC4-5D6E-409C-BE32-E72D297353CC}">
              <c16:uniqueId val="{00000005-448C-4E2D-B124-98B0592A6457}"/>
            </c:ext>
          </c:extLst>
        </c:ser>
        <c:dLbls>
          <c:showLegendKey val="0"/>
          <c:showVal val="0"/>
          <c:showCatName val="0"/>
          <c:showSerName val="0"/>
          <c:showPercent val="0"/>
          <c:showBubbleSize val="0"/>
        </c:dLbls>
        <c:marker val="1"/>
        <c:smooth val="0"/>
        <c:axId val="1219611096"/>
        <c:axId val="1219610768"/>
      </c:lineChart>
      <c:catAx>
        <c:axId val="427180032"/>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r>
                  <a:rPr lang="en-AU" sz="900"/>
                  <a:t>Source: ABS</a:t>
                </a:r>
              </a:p>
            </c:rich>
          </c:tx>
          <c:layout>
            <c:manualLayout>
              <c:xMode val="edge"/>
              <c:yMode val="edge"/>
              <c:x val="7.7066203576105071E-3"/>
              <c:y val="0.95822762680513263"/>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chemeClr val="tx1"/>
                </a:solidFill>
                <a:latin typeface="+mn-lt"/>
                <a:ea typeface="+mn-ea"/>
                <a:cs typeface="+mn-cs"/>
              </a:defRPr>
            </a:pPr>
            <a:endParaRPr lang="en-US"/>
          </a:p>
        </c:txPr>
        <c:crossAx val="427181952"/>
        <c:crosses val="autoZero"/>
        <c:auto val="1"/>
        <c:lblAlgn val="ctr"/>
        <c:lblOffset val="100"/>
        <c:noMultiLvlLbl val="0"/>
      </c:catAx>
      <c:valAx>
        <c:axId val="427181952"/>
        <c:scaling>
          <c:orientation val="minMax"/>
          <c:max val="400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AU"/>
                  <a:t>$ Million</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27180032"/>
        <c:crosses val="autoZero"/>
        <c:crossBetween val="between"/>
        <c:majorUnit val="1000"/>
      </c:valAx>
      <c:valAx>
        <c:axId val="1219610768"/>
        <c:scaling>
          <c:orientation val="minMax"/>
          <c:max val="1"/>
        </c:scaling>
        <c:delete val="0"/>
        <c:axPos val="r"/>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219611096"/>
        <c:crosses val="max"/>
        <c:crossBetween val="between"/>
        <c:majorUnit val="0.25"/>
      </c:valAx>
      <c:catAx>
        <c:axId val="1219611096"/>
        <c:scaling>
          <c:orientation val="minMax"/>
        </c:scaling>
        <c:delete val="1"/>
        <c:axPos val="b"/>
        <c:numFmt formatCode="General" sourceLinked="1"/>
        <c:majorTickMark val="out"/>
        <c:minorTickMark val="none"/>
        <c:tickLblPos val="nextTo"/>
        <c:crossAx val="1219610768"/>
        <c:crosses val="autoZero"/>
        <c:auto val="1"/>
        <c:lblAlgn val="ctr"/>
        <c:lblOffset val="100"/>
        <c:noMultiLvlLbl val="0"/>
      </c:catAx>
      <c:spPr>
        <a:solidFill>
          <a:schemeClr val="bg1"/>
        </a:solidFill>
        <a:ln>
          <a:noFill/>
        </a:ln>
        <a:effectLst/>
      </c:spPr>
    </c:plotArea>
    <c:legend>
      <c:legendPos val="t"/>
      <c:overlay val="0"/>
      <c:spPr>
        <a:noFill/>
        <a:ln>
          <a:noFill/>
        </a:ln>
        <a:effectLst/>
      </c:spPr>
      <c:txPr>
        <a:bodyPr rot="0" spcFirstLastPara="1" vertOverflow="ellipsis" vert="horz" wrap="square" anchor="ctr" anchorCtr="1"/>
        <a:lstStyle/>
        <a:p>
          <a:pPr rtl="0">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n-AU" sz="1800" b="1"/>
              <a:t>Australia</a:t>
            </a:r>
            <a:r>
              <a:rPr lang="en-AU" sz="1800" b="1" baseline="0"/>
              <a:t> D</a:t>
            </a:r>
            <a:r>
              <a:rPr lang="en-AU" sz="1800" b="1"/>
              <a:t>rill Metres</a:t>
            </a:r>
            <a:br>
              <a:rPr lang="en-AU" sz="1800" b="1"/>
            </a:br>
            <a:r>
              <a:rPr lang="en-AU" sz="900" b="1"/>
              <a:t>New And Existing Deposits</a:t>
            </a:r>
          </a:p>
        </c:rich>
      </c:tx>
      <c:layout>
        <c:manualLayout>
          <c:xMode val="edge"/>
          <c:yMode val="edge"/>
          <c:x val="0.36129821323673456"/>
          <c:y val="1.1411411411411412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9.2653670307340619E-2"/>
          <c:y val="0.17189851268591427"/>
          <c:w val="0.87580962661925321"/>
          <c:h val="0.68630167175049062"/>
        </c:manualLayout>
      </c:layout>
      <c:areaChart>
        <c:grouping val="stacked"/>
        <c:varyColors val="0"/>
        <c:ser>
          <c:idx val="0"/>
          <c:order val="0"/>
          <c:tx>
            <c:v>New Deposits</c:v>
          </c:tx>
          <c:spPr>
            <a:solidFill>
              <a:schemeClr val="accent6">
                <a:shade val="76000"/>
              </a:schemeClr>
            </a:solidFill>
            <a:ln>
              <a:noFill/>
            </a:ln>
            <a:effectLst/>
          </c:spPr>
          <c:cat>
            <c:numRef>
              <c:f>'Min. Expl. Metres Drilled'!$C$8:$C$140</c:f>
              <c:numCache>
                <c:formatCode>mmm\-yyyy</c:formatCode>
                <c:ptCount val="133"/>
                <c:pt idx="0">
                  <c:v>37865</c:v>
                </c:pt>
                <c:pt idx="1">
                  <c:v>37956</c:v>
                </c:pt>
                <c:pt idx="2">
                  <c:v>38047</c:v>
                </c:pt>
                <c:pt idx="3">
                  <c:v>38139</c:v>
                </c:pt>
                <c:pt idx="4">
                  <c:v>38231</c:v>
                </c:pt>
                <c:pt idx="5">
                  <c:v>38322</c:v>
                </c:pt>
                <c:pt idx="6">
                  <c:v>38412</c:v>
                </c:pt>
                <c:pt idx="7">
                  <c:v>38504</c:v>
                </c:pt>
                <c:pt idx="8">
                  <c:v>38596</c:v>
                </c:pt>
                <c:pt idx="9">
                  <c:v>38687</c:v>
                </c:pt>
                <c:pt idx="10">
                  <c:v>38777</c:v>
                </c:pt>
                <c:pt idx="11">
                  <c:v>38869</c:v>
                </c:pt>
                <c:pt idx="12">
                  <c:v>38961</c:v>
                </c:pt>
                <c:pt idx="13">
                  <c:v>39052</c:v>
                </c:pt>
                <c:pt idx="14">
                  <c:v>39142</c:v>
                </c:pt>
                <c:pt idx="15">
                  <c:v>39234</c:v>
                </c:pt>
                <c:pt idx="16">
                  <c:v>39326</c:v>
                </c:pt>
                <c:pt idx="17">
                  <c:v>39417</c:v>
                </c:pt>
                <c:pt idx="18">
                  <c:v>39508</c:v>
                </c:pt>
                <c:pt idx="19">
                  <c:v>39600</c:v>
                </c:pt>
                <c:pt idx="20">
                  <c:v>39692</c:v>
                </c:pt>
                <c:pt idx="21">
                  <c:v>39783</c:v>
                </c:pt>
                <c:pt idx="22">
                  <c:v>39873</c:v>
                </c:pt>
                <c:pt idx="23">
                  <c:v>39965</c:v>
                </c:pt>
                <c:pt idx="24">
                  <c:v>40057</c:v>
                </c:pt>
                <c:pt idx="25">
                  <c:v>40148</c:v>
                </c:pt>
                <c:pt idx="26">
                  <c:v>40238</c:v>
                </c:pt>
                <c:pt idx="27">
                  <c:v>40330</c:v>
                </c:pt>
                <c:pt idx="28">
                  <c:v>40422</c:v>
                </c:pt>
                <c:pt idx="29">
                  <c:v>40513</c:v>
                </c:pt>
                <c:pt idx="30">
                  <c:v>40603</c:v>
                </c:pt>
                <c:pt idx="31">
                  <c:v>40695</c:v>
                </c:pt>
                <c:pt idx="32">
                  <c:v>40787</c:v>
                </c:pt>
                <c:pt idx="33">
                  <c:v>40878</c:v>
                </c:pt>
                <c:pt idx="34">
                  <c:v>40969</c:v>
                </c:pt>
                <c:pt idx="35">
                  <c:v>41061</c:v>
                </c:pt>
                <c:pt idx="36">
                  <c:v>41153</c:v>
                </c:pt>
                <c:pt idx="37">
                  <c:v>41244</c:v>
                </c:pt>
                <c:pt idx="38">
                  <c:v>41334</c:v>
                </c:pt>
                <c:pt idx="39">
                  <c:v>41426</c:v>
                </c:pt>
                <c:pt idx="40">
                  <c:v>41518</c:v>
                </c:pt>
                <c:pt idx="41">
                  <c:v>41609</c:v>
                </c:pt>
                <c:pt idx="42">
                  <c:v>41699</c:v>
                </c:pt>
                <c:pt idx="43">
                  <c:v>41791</c:v>
                </c:pt>
                <c:pt idx="44">
                  <c:v>41883</c:v>
                </c:pt>
                <c:pt idx="45">
                  <c:v>41974</c:v>
                </c:pt>
                <c:pt idx="46">
                  <c:v>42064</c:v>
                </c:pt>
                <c:pt idx="47">
                  <c:v>42156</c:v>
                </c:pt>
                <c:pt idx="48">
                  <c:v>42248</c:v>
                </c:pt>
                <c:pt idx="49">
                  <c:v>42339</c:v>
                </c:pt>
                <c:pt idx="50">
                  <c:v>42430</c:v>
                </c:pt>
                <c:pt idx="51">
                  <c:v>42522</c:v>
                </c:pt>
                <c:pt idx="52">
                  <c:v>42614</c:v>
                </c:pt>
                <c:pt idx="53">
                  <c:v>42705</c:v>
                </c:pt>
                <c:pt idx="54">
                  <c:v>42795</c:v>
                </c:pt>
                <c:pt idx="55">
                  <c:v>42887</c:v>
                </c:pt>
                <c:pt idx="56">
                  <c:v>42979</c:v>
                </c:pt>
                <c:pt idx="57">
                  <c:v>43070</c:v>
                </c:pt>
                <c:pt idx="58">
                  <c:v>43160</c:v>
                </c:pt>
                <c:pt idx="59">
                  <c:v>43252</c:v>
                </c:pt>
                <c:pt idx="60">
                  <c:v>43344</c:v>
                </c:pt>
                <c:pt idx="61">
                  <c:v>43435</c:v>
                </c:pt>
                <c:pt idx="62">
                  <c:v>43525</c:v>
                </c:pt>
                <c:pt idx="63">
                  <c:v>43617</c:v>
                </c:pt>
                <c:pt idx="64">
                  <c:v>43709</c:v>
                </c:pt>
                <c:pt idx="65">
                  <c:v>43800</c:v>
                </c:pt>
                <c:pt idx="66">
                  <c:v>43891</c:v>
                </c:pt>
                <c:pt idx="67">
                  <c:v>43983</c:v>
                </c:pt>
                <c:pt idx="68">
                  <c:v>44075</c:v>
                </c:pt>
                <c:pt idx="69">
                  <c:v>44166</c:v>
                </c:pt>
                <c:pt idx="70">
                  <c:v>44256</c:v>
                </c:pt>
                <c:pt idx="71">
                  <c:v>44348</c:v>
                </c:pt>
                <c:pt idx="72">
                  <c:v>44440</c:v>
                </c:pt>
                <c:pt idx="73">
                  <c:v>44531</c:v>
                </c:pt>
                <c:pt idx="74">
                  <c:v>44621</c:v>
                </c:pt>
                <c:pt idx="75">
                  <c:v>44713</c:v>
                </c:pt>
                <c:pt idx="76">
                  <c:v>44805</c:v>
                </c:pt>
                <c:pt idx="77">
                  <c:v>44896</c:v>
                </c:pt>
                <c:pt idx="78">
                  <c:v>44986</c:v>
                </c:pt>
                <c:pt idx="79">
                  <c:v>45078</c:v>
                </c:pt>
                <c:pt idx="80">
                  <c:v>45170</c:v>
                </c:pt>
                <c:pt idx="81">
                  <c:v>45261</c:v>
                </c:pt>
                <c:pt idx="82">
                  <c:v>45352</c:v>
                </c:pt>
                <c:pt idx="83">
                  <c:v>45444</c:v>
                </c:pt>
              </c:numCache>
            </c:numRef>
          </c:cat>
          <c:val>
            <c:numRef>
              <c:f>'Min. Expl. Metres Drilled'!$D$8:$D$140</c:f>
              <c:numCache>
                <c:formatCode>#,##0</c:formatCode>
                <c:ptCount val="133"/>
                <c:pt idx="0">
                  <c:v>646</c:v>
                </c:pt>
                <c:pt idx="1">
                  <c:v>636</c:v>
                </c:pt>
                <c:pt idx="2">
                  <c:v>508</c:v>
                </c:pt>
                <c:pt idx="3">
                  <c:v>891</c:v>
                </c:pt>
                <c:pt idx="4">
                  <c:v>897.7</c:v>
                </c:pt>
                <c:pt idx="5">
                  <c:v>602.79999999999995</c:v>
                </c:pt>
                <c:pt idx="6">
                  <c:v>532.79999999999995</c:v>
                </c:pt>
                <c:pt idx="7">
                  <c:v>750.1</c:v>
                </c:pt>
                <c:pt idx="8">
                  <c:v>735.1</c:v>
                </c:pt>
                <c:pt idx="9">
                  <c:v>581.79999999999995</c:v>
                </c:pt>
                <c:pt idx="10">
                  <c:v>522.79999999999995</c:v>
                </c:pt>
                <c:pt idx="11">
                  <c:v>778</c:v>
                </c:pt>
                <c:pt idx="12">
                  <c:v>812.4</c:v>
                </c:pt>
                <c:pt idx="13">
                  <c:v>900.4</c:v>
                </c:pt>
                <c:pt idx="14">
                  <c:v>713.2</c:v>
                </c:pt>
                <c:pt idx="15">
                  <c:v>814.1</c:v>
                </c:pt>
                <c:pt idx="16">
                  <c:v>1055.8</c:v>
                </c:pt>
                <c:pt idx="17">
                  <c:v>970.1</c:v>
                </c:pt>
                <c:pt idx="18">
                  <c:v>737.1</c:v>
                </c:pt>
                <c:pt idx="19">
                  <c:v>1157</c:v>
                </c:pt>
                <c:pt idx="20">
                  <c:v>1068.9000000000001</c:v>
                </c:pt>
                <c:pt idx="21">
                  <c:v>792.1</c:v>
                </c:pt>
                <c:pt idx="22">
                  <c:v>338.2</c:v>
                </c:pt>
                <c:pt idx="23">
                  <c:v>521.20000000000005</c:v>
                </c:pt>
                <c:pt idx="24">
                  <c:v>719</c:v>
                </c:pt>
                <c:pt idx="25">
                  <c:v>857.6</c:v>
                </c:pt>
                <c:pt idx="26">
                  <c:v>547.5</c:v>
                </c:pt>
                <c:pt idx="27">
                  <c:v>930.4</c:v>
                </c:pt>
                <c:pt idx="28">
                  <c:v>907.4</c:v>
                </c:pt>
                <c:pt idx="29">
                  <c:v>932.7</c:v>
                </c:pt>
                <c:pt idx="30">
                  <c:v>617.20000000000005</c:v>
                </c:pt>
                <c:pt idx="31">
                  <c:v>979</c:v>
                </c:pt>
                <c:pt idx="32">
                  <c:v>1037.7</c:v>
                </c:pt>
                <c:pt idx="33">
                  <c:v>1008.4</c:v>
                </c:pt>
                <c:pt idx="34">
                  <c:v>582.79999999999995</c:v>
                </c:pt>
                <c:pt idx="35">
                  <c:v>1071.2</c:v>
                </c:pt>
                <c:pt idx="36">
                  <c:v>943.1</c:v>
                </c:pt>
                <c:pt idx="37">
                  <c:v>677.4</c:v>
                </c:pt>
                <c:pt idx="38">
                  <c:v>416.7</c:v>
                </c:pt>
                <c:pt idx="39">
                  <c:v>692.5</c:v>
                </c:pt>
                <c:pt idx="40">
                  <c:v>592.70000000000005</c:v>
                </c:pt>
                <c:pt idx="41">
                  <c:v>396.1</c:v>
                </c:pt>
                <c:pt idx="42">
                  <c:v>300</c:v>
                </c:pt>
                <c:pt idx="43">
                  <c:v>308.8</c:v>
                </c:pt>
                <c:pt idx="44">
                  <c:v>397.2</c:v>
                </c:pt>
                <c:pt idx="45">
                  <c:v>491.9</c:v>
                </c:pt>
                <c:pt idx="46">
                  <c:v>242.1</c:v>
                </c:pt>
                <c:pt idx="47">
                  <c:v>438.1</c:v>
                </c:pt>
                <c:pt idx="48">
                  <c:v>341.1</c:v>
                </c:pt>
                <c:pt idx="49">
                  <c:v>442.4</c:v>
                </c:pt>
                <c:pt idx="50">
                  <c:v>306.60000000000002</c:v>
                </c:pt>
                <c:pt idx="51">
                  <c:v>418.2</c:v>
                </c:pt>
                <c:pt idx="52">
                  <c:v>539.1</c:v>
                </c:pt>
                <c:pt idx="53">
                  <c:v>658.7</c:v>
                </c:pt>
                <c:pt idx="54">
                  <c:v>484</c:v>
                </c:pt>
                <c:pt idx="55">
                  <c:v>682.6</c:v>
                </c:pt>
                <c:pt idx="56">
                  <c:v>841.6</c:v>
                </c:pt>
                <c:pt idx="57">
                  <c:v>766.1</c:v>
                </c:pt>
                <c:pt idx="58">
                  <c:v>631.70000000000005</c:v>
                </c:pt>
                <c:pt idx="59">
                  <c:v>971.8</c:v>
                </c:pt>
                <c:pt idx="60">
                  <c:v>1041.7</c:v>
                </c:pt>
                <c:pt idx="61">
                  <c:v>949.3</c:v>
                </c:pt>
                <c:pt idx="62">
                  <c:v>755.4</c:v>
                </c:pt>
                <c:pt idx="63">
                  <c:v>923.8</c:v>
                </c:pt>
                <c:pt idx="64">
                  <c:v>1115.8</c:v>
                </c:pt>
                <c:pt idx="65">
                  <c:v>917.2</c:v>
                </c:pt>
                <c:pt idx="66">
                  <c:v>805.7</c:v>
                </c:pt>
                <c:pt idx="67">
                  <c:v>850.6</c:v>
                </c:pt>
                <c:pt idx="68">
                  <c:v>1048.5</c:v>
                </c:pt>
                <c:pt idx="69">
                  <c:v>1031.7</c:v>
                </c:pt>
                <c:pt idx="70">
                  <c:v>878.4</c:v>
                </c:pt>
                <c:pt idx="71">
                  <c:v>1107.4000000000001</c:v>
                </c:pt>
                <c:pt idx="72">
                  <c:v>1160.3</c:v>
                </c:pt>
                <c:pt idx="73">
                  <c:v>974.4</c:v>
                </c:pt>
                <c:pt idx="74">
                  <c:v>830.2</c:v>
                </c:pt>
                <c:pt idx="75">
                  <c:v>869.1</c:v>
                </c:pt>
                <c:pt idx="76">
                  <c:v>943.3</c:v>
                </c:pt>
                <c:pt idx="77">
                  <c:v>793.5</c:v>
                </c:pt>
                <c:pt idx="78">
                  <c:v>609.79999999999995</c:v>
                </c:pt>
                <c:pt idx="79">
                  <c:v>818.5</c:v>
                </c:pt>
                <c:pt idx="80">
                  <c:v>821.8</c:v>
                </c:pt>
                <c:pt idx="81">
                  <c:v>745.3</c:v>
                </c:pt>
                <c:pt idx="82">
                  <c:v>490.6</c:v>
                </c:pt>
                <c:pt idx="83">
                  <c:v>656.6</c:v>
                </c:pt>
              </c:numCache>
            </c:numRef>
          </c:val>
          <c:extLst>
            <c:ext xmlns:c16="http://schemas.microsoft.com/office/drawing/2014/chart" uri="{C3380CC4-5D6E-409C-BE32-E72D297353CC}">
              <c16:uniqueId val="{00000000-7355-424C-9B5C-E39E61254824}"/>
            </c:ext>
          </c:extLst>
        </c:ser>
        <c:ser>
          <c:idx val="1"/>
          <c:order val="1"/>
          <c:tx>
            <c:v>Existing Deposits</c:v>
          </c:tx>
          <c:spPr>
            <a:solidFill>
              <a:schemeClr val="accent6">
                <a:tint val="77000"/>
              </a:schemeClr>
            </a:solidFill>
            <a:ln>
              <a:noFill/>
            </a:ln>
            <a:effectLst/>
          </c:spPr>
          <c:cat>
            <c:numRef>
              <c:f>'Min. Expl. Metres Drilled'!$C$8:$C$140</c:f>
              <c:numCache>
                <c:formatCode>mmm\-yyyy</c:formatCode>
                <c:ptCount val="133"/>
                <c:pt idx="0">
                  <c:v>37865</c:v>
                </c:pt>
                <c:pt idx="1">
                  <c:v>37956</c:v>
                </c:pt>
                <c:pt idx="2">
                  <c:v>38047</c:v>
                </c:pt>
                <c:pt idx="3">
                  <c:v>38139</c:v>
                </c:pt>
                <c:pt idx="4">
                  <c:v>38231</c:v>
                </c:pt>
                <c:pt idx="5">
                  <c:v>38322</c:v>
                </c:pt>
                <c:pt idx="6">
                  <c:v>38412</c:v>
                </c:pt>
                <c:pt idx="7">
                  <c:v>38504</c:v>
                </c:pt>
                <c:pt idx="8">
                  <c:v>38596</c:v>
                </c:pt>
                <c:pt idx="9">
                  <c:v>38687</c:v>
                </c:pt>
                <c:pt idx="10">
                  <c:v>38777</c:v>
                </c:pt>
                <c:pt idx="11">
                  <c:v>38869</c:v>
                </c:pt>
                <c:pt idx="12">
                  <c:v>38961</c:v>
                </c:pt>
                <c:pt idx="13">
                  <c:v>39052</c:v>
                </c:pt>
                <c:pt idx="14">
                  <c:v>39142</c:v>
                </c:pt>
                <c:pt idx="15">
                  <c:v>39234</c:v>
                </c:pt>
                <c:pt idx="16">
                  <c:v>39326</c:v>
                </c:pt>
                <c:pt idx="17">
                  <c:v>39417</c:v>
                </c:pt>
                <c:pt idx="18">
                  <c:v>39508</c:v>
                </c:pt>
                <c:pt idx="19">
                  <c:v>39600</c:v>
                </c:pt>
                <c:pt idx="20">
                  <c:v>39692</c:v>
                </c:pt>
                <c:pt idx="21">
                  <c:v>39783</c:v>
                </c:pt>
                <c:pt idx="22">
                  <c:v>39873</c:v>
                </c:pt>
                <c:pt idx="23">
                  <c:v>39965</c:v>
                </c:pt>
                <c:pt idx="24">
                  <c:v>40057</c:v>
                </c:pt>
                <c:pt idx="25">
                  <c:v>40148</c:v>
                </c:pt>
                <c:pt idx="26">
                  <c:v>40238</c:v>
                </c:pt>
                <c:pt idx="27">
                  <c:v>40330</c:v>
                </c:pt>
                <c:pt idx="28">
                  <c:v>40422</c:v>
                </c:pt>
                <c:pt idx="29">
                  <c:v>40513</c:v>
                </c:pt>
                <c:pt idx="30">
                  <c:v>40603</c:v>
                </c:pt>
                <c:pt idx="31">
                  <c:v>40695</c:v>
                </c:pt>
                <c:pt idx="32">
                  <c:v>40787</c:v>
                </c:pt>
                <c:pt idx="33">
                  <c:v>40878</c:v>
                </c:pt>
                <c:pt idx="34">
                  <c:v>40969</c:v>
                </c:pt>
                <c:pt idx="35">
                  <c:v>41061</c:v>
                </c:pt>
                <c:pt idx="36">
                  <c:v>41153</c:v>
                </c:pt>
                <c:pt idx="37">
                  <c:v>41244</c:v>
                </c:pt>
                <c:pt idx="38">
                  <c:v>41334</c:v>
                </c:pt>
                <c:pt idx="39">
                  <c:v>41426</c:v>
                </c:pt>
                <c:pt idx="40">
                  <c:v>41518</c:v>
                </c:pt>
                <c:pt idx="41">
                  <c:v>41609</c:v>
                </c:pt>
                <c:pt idx="42">
                  <c:v>41699</c:v>
                </c:pt>
                <c:pt idx="43">
                  <c:v>41791</c:v>
                </c:pt>
                <c:pt idx="44">
                  <c:v>41883</c:v>
                </c:pt>
                <c:pt idx="45">
                  <c:v>41974</c:v>
                </c:pt>
                <c:pt idx="46">
                  <c:v>42064</c:v>
                </c:pt>
                <c:pt idx="47">
                  <c:v>42156</c:v>
                </c:pt>
                <c:pt idx="48">
                  <c:v>42248</c:v>
                </c:pt>
                <c:pt idx="49">
                  <c:v>42339</c:v>
                </c:pt>
                <c:pt idx="50">
                  <c:v>42430</c:v>
                </c:pt>
                <c:pt idx="51">
                  <c:v>42522</c:v>
                </c:pt>
                <c:pt idx="52">
                  <c:v>42614</c:v>
                </c:pt>
                <c:pt idx="53">
                  <c:v>42705</c:v>
                </c:pt>
                <c:pt idx="54">
                  <c:v>42795</c:v>
                </c:pt>
                <c:pt idx="55">
                  <c:v>42887</c:v>
                </c:pt>
                <c:pt idx="56">
                  <c:v>42979</c:v>
                </c:pt>
                <c:pt idx="57">
                  <c:v>43070</c:v>
                </c:pt>
                <c:pt idx="58">
                  <c:v>43160</c:v>
                </c:pt>
                <c:pt idx="59">
                  <c:v>43252</c:v>
                </c:pt>
                <c:pt idx="60">
                  <c:v>43344</c:v>
                </c:pt>
                <c:pt idx="61">
                  <c:v>43435</c:v>
                </c:pt>
                <c:pt idx="62">
                  <c:v>43525</c:v>
                </c:pt>
                <c:pt idx="63">
                  <c:v>43617</c:v>
                </c:pt>
                <c:pt idx="64">
                  <c:v>43709</c:v>
                </c:pt>
                <c:pt idx="65">
                  <c:v>43800</c:v>
                </c:pt>
                <c:pt idx="66">
                  <c:v>43891</c:v>
                </c:pt>
                <c:pt idx="67">
                  <c:v>43983</c:v>
                </c:pt>
                <c:pt idx="68">
                  <c:v>44075</c:v>
                </c:pt>
                <c:pt idx="69">
                  <c:v>44166</c:v>
                </c:pt>
                <c:pt idx="70">
                  <c:v>44256</c:v>
                </c:pt>
                <c:pt idx="71">
                  <c:v>44348</c:v>
                </c:pt>
                <c:pt idx="72">
                  <c:v>44440</c:v>
                </c:pt>
                <c:pt idx="73">
                  <c:v>44531</c:v>
                </c:pt>
                <c:pt idx="74">
                  <c:v>44621</c:v>
                </c:pt>
                <c:pt idx="75">
                  <c:v>44713</c:v>
                </c:pt>
                <c:pt idx="76">
                  <c:v>44805</c:v>
                </c:pt>
                <c:pt idx="77">
                  <c:v>44896</c:v>
                </c:pt>
                <c:pt idx="78">
                  <c:v>44986</c:v>
                </c:pt>
                <c:pt idx="79">
                  <c:v>45078</c:v>
                </c:pt>
                <c:pt idx="80">
                  <c:v>45170</c:v>
                </c:pt>
                <c:pt idx="81">
                  <c:v>45261</c:v>
                </c:pt>
                <c:pt idx="82">
                  <c:v>45352</c:v>
                </c:pt>
                <c:pt idx="83">
                  <c:v>45444</c:v>
                </c:pt>
              </c:numCache>
            </c:numRef>
          </c:cat>
          <c:val>
            <c:numRef>
              <c:f>'Min. Expl. Metres Drilled'!$E$8:$E$140</c:f>
              <c:numCache>
                <c:formatCode>#,##0</c:formatCode>
                <c:ptCount val="133"/>
                <c:pt idx="0">
                  <c:v>758</c:v>
                </c:pt>
                <c:pt idx="1">
                  <c:v>690</c:v>
                </c:pt>
                <c:pt idx="2">
                  <c:v>596</c:v>
                </c:pt>
                <c:pt idx="3">
                  <c:v>956.6</c:v>
                </c:pt>
                <c:pt idx="4">
                  <c:v>1023.9</c:v>
                </c:pt>
                <c:pt idx="5">
                  <c:v>1045.5999999999999</c:v>
                </c:pt>
                <c:pt idx="6">
                  <c:v>898.7</c:v>
                </c:pt>
                <c:pt idx="7">
                  <c:v>1032.8</c:v>
                </c:pt>
                <c:pt idx="8">
                  <c:v>1099.9000000000001</c:v>
                </c:pt>
                <c:pt idx="9">
                  <c:v>1036.7</c:v>
                </c:pt>
                <c:pt idx="10">
                  <c:v>944.4</c:v>
                </c:pt>
                <c:pt idx="11">
                  <c:v>1138.0999999999999</c:v>
                </c:pt>
                <c:pt idx="12">
                  <c:v>1438.6</c:v>
                </c:pt>
                <c:pt idx="13">
                  <c:v>1199.3</c:v>
                </c:pt>
                <c:pt idx="14">
                  <c:v>1071</c:v>
                </c:pt>
                <c:pt idx="15">
                  <c:v>1505.6</c:v>
                </c:pt>
                <c:pt idx="16">
                  <c:v>1500.8</c:v>
                </c:pt>
                <c:pt idx="17">
                  <c:v>1476</c:v>
                </c:pt>
                <c:pt idx="18">
                  <c:v>1275.4000000000001</c:v>
                </c:pt>
                <c:pt idx="19">
                  <c:v>1583.2</c:v>
                </c:pt>
                <c:pt idx="20">
                  <c:v>1636</c:v>
                </c:pt>
                <c:pt idx="21">
                  <c:v>1444.4</c:v>
                </c:pt>
                <c:pt idx="22">
                  <c:v>888.3</c:v>
                </c:pt>
                <c:pt idx="23">
                  <c:v>1198.7</c:v>
                </c:pt>
                <c:pt idx="24">
                  <c:v>1422</c:v>
                </c:pt>
                <c:pt idx="25">
                  <c:v>1436.6</c:v>
                </c:pt>
                <c:pt idx="26">
                  <c:v>995.8</c:v>
                </c:pt>
                <c:pt idx="27">
                  <c:v>1390.1</c:v>
                </c:pt>
                <c:pt idx="28">
                  <c:v>1555.8</c:v>
                </c:pt>
                <c:pt idx="29">
                  <c:v>1449.3</c:v>
                </c:pt>
                <c:pt idx="30">
                  <c:v>1361.7</c:v>
                </c:pt>
                <c:pt idx="31">
                  <c:v>1896.3</c:v>
                </c:pt>
                <c:pt idx="32">
                  <c:v>2120.3000000000002</c:v>
                </c:pt>
                <c:pt idx="33">
                  <c:v>1947.2</c:v>
                </c:pt>
                <c:pt idx="34">
                  <c:v>1688.8</c:v>
                </c:pt>
                <c:pt idx="35">
                  <c:v>1952.4</c:v>
                </c:pt>
                <c:pt idx="36">
                  <c:v>1771.1</c:v>
                </c:pt>
                <c:pt idx="37">
                  <c:v>1501.6</c:v>
                </c:pt>
                <c:pt idx="38">
                  <c:v>1117.5999999999999</c:v>
                </c:pt>
                <c:pt idx="39">
                  <c:v>1300</c:v>
                </c:pt>
                <c:pt idx="40">
                  <c:v>1253.5999999999999</c:v>
                </c:pt>
                <c:pt idx="41">
                  <c:v>1368.1</c:v>
                </c:pt>
                <c:pt idx="42">
                  <c:v>848.1</c:v>
                </c:pt>
                <c:pt idx="43">
                  <c:v>1386</c:v>
                </c:pt>
                <c:pt idx="44">
                  <c:v>1271.8</c:v>
                </c:pt>
                <c:pt idx="45">
                  <c:v>1121.2</c:v>
                </c:pt>
                <c:pt idx="46">
                  <c:v>898.6</c:v>
                </c:pt>
                <c:pt idx="47">
                  <c:v>1103.3</c:v>
                </c:pt>
                <c:pt idx="48">
                  <c:v>1232.7</c:v>
                </c:pt>
                <c:pt idx="49">
                  <c:v>1240.2</c:v>
                </c:pt>
                <c:pt idx="50">
                  <c:v>994.8</c:v>
                </c:pt>
                <c:pt idx="51">
                  <c:v>1376.4</c:v>
                </c:pt>
                <c:pt idx="52">
                  <c:v>1257.9000000000001</c:v>
                </c:pt>
                <c:pt idx="53">
                  <c:v>1183.9000000000001</c:v>
                </c:pt>
                <c:pt idx="54">
                  <c:v>1117.5</c:v>
                </c:pt>
                <c:pt idx="55">
                  <c:v>1616.2</c:v>
                </c:pt>
                <c:pt idx="56">
                  <c:v>1452.4</c:v>
                </c:pt>
                <c:pt idx="57">
                  <c:v>1409.8</c:v>
                </c:pt>
                <c:pt idx="58">
                  <c:v>1221.9000000000001</c:v>
                </c:pt>
                <c:pt idx="59">
                  <c:v>1701</c:v>
                </c:pt>
                <c:pt idx="60">
                  <c:v>1778.6</c:v>
                </c:pt>
                <c:pt idx="61">
                  <c:v>1545.2</c:v>
                </c:pt>
                <c:pt idx="62">
                  <c:v>1460.4</c:v>
                </c:pt>
                <c:pt idx="63">
                  <c:v>1755.9</c:v>
                </c:pt>
                <c:pt idx="64">
                  <c:v>1664.5</c:v>
                </c:pt>
                <c:pt idx="65">
                  <c:v>1798</c:v>
                </c:pt>
                <c:pt idx="66">
                  <c:v>1447</c:v>
                </c:pt>
                <c:pt idx="67">
                  <c:v>1644.8</c:v>
                </c:pt>
                <c:pt idx="68">
                  <c:v>1916.3</c:v>
                </c:pt>
                <c:pt idx="69">
                  <c:v>1958.4</c:v>
                </c:pt>
                <c:pt idx="70">
                  <c:v>1915.4</c:v>
                </c:pt>
                <c:pt idx="71">
                  <c:v>2536.5</c:v>
                </c:pt>
                <c:pt idx="72">
                  <c:v>2462.3000000000002</c:v>
                </c:pt>
                <c:pt idx="73">
                  <c:v>2175.9</c:v>
                </c:pt>
                <c:pt idx="74">
                  <c:v>1824.6</c:v>
                </c:pt>
                <c:pt idx="75">
                  <c:v>2232.6999999999998</c:v>
                </c:pt>
                <c:pt idx="76">
                  <c:v>2133.6</c:v>
                </c:pt>
                <c:pt idx="77">
                  <c:v>2057.5</c:v>
                </c:pt>
                <c:pt idx="78">
                  <c:v>1822.9</c:v>
                </c:pt>
                <c:pt idx="79">
                  <c:v>2116.1999999999998</c:v>
                </c:pt>
                <c:pt idx="80">
                  <c:v>1981.3</c:v>
                </c:pt>
                <c:pt idx="81">
                  <c:v>1903.5</c:v>
                </c:pt>
                <c:pt idx="82">
                  <c:v>1494.4</c:v>
                </c:pt>
                <c:pt idx="83">
                  <c:v>1934.7</c:v>
                </c:pt>
              </c:numCache>
            </c:numRef>
          </c:val>
          <c:extLst>
            <c:ext xmlns:c16="http://schemas.microsoft.com/office/drawing/2014/chart" uri="{C3380CC4-5D6E-409C-BE32-E72D297353CC}">
              <c16:uniqueId val="{00000001-7355-424C-9B5C-E39E61254824}"/>
            </c:ext>
          </c:extLst>
        </c:ser>
        <c:dLbls>
          <c:showLegendKey val="0"/>
          <c:showVal val="0"/>
          <c:showCatName val="0"/>
          <c:showSerName val="0"/>
          <c:showPercent val="0"/>
          <c:showBubbleSize val="0"/>
        </c:dLbls>
        <c:axId val="429845888"/>
        <c:axId val="430315008"/>
      </c:areaChart>
      <c:dateAx>
        <c:axId val="429845888"/>
        <c:scaling>
          <c:orientation val="minMax"/>
          <c:min val="39417"/>
        </c:scaling>
        <c:delete val="0"/>
        <c:axPos val="b"/>
        <c:title>
          <c:tx>
            <c:rich>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AU" sz="900" b="1"/>
                  <a:t>Source: ABS</a:t>
                </a:r>
              </a:p>
            </c:rich>
          </c:tx>
          <c:layout>
            <c:manualLayout>
              <c:xMode val="edge"/>
              <c:yMode val="edge"/>
              <c:x val="6.6421736918875554E-3"/>
              <c:y val="0.96207462439288116"/>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mmm\-yyyy"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430315008"/>
        <c:crosses val="autoZero"/>
        <c:auto val="1"/>
        <c:lblOffset val="100"/>
        <c:baseTimeUnit val="months"/>
        <c:majorUnit val="6"/>
        <c:majorTimeUnit val="months"/>
      </c:dateAx>
      <c:valAx>
        <c:axId val="430315008"/>
        <c:scaling>
          <c:orientation val="minMax"/>
          <c:min val="0"/>
        </c:scaling>
        <c:delete val="0"/>
        <c:axPos val="l"/>
        <c:majorGridlines>
          <c:spPr>
            <a:ln w="9525" cap="flat" cmpd="sng" algn="ctr">
              <a:solidFill>
                <a:srgbClr val="868686"/>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AU" b="1"/>
                  <a:t>'000 metres</a:t>
                </a:r>
              </a:p>
            </c:rich>
          </c:tx>
          <c:layout>
            <c:manualLayout>
              <c:xMode val="edge"/>
              <c:yMode val="edge"/>
              <c:x val="3.3742379984759963E-3"/>
              <c:y val="0.46773247271984741"/>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29845888"/>
        <c:crosses val="autoZero"/>
        <c:crossBetween val="between"/>
        <c:majorUnit val="1000"/>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rgbClr val="868686"/>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a:defRPr/>
            </a:pPr>
            <a:r>
              <a:rPr lang="en-AU" sz="1300" b="1" i="0" baseline="0">
                <a:effectLst/>
              </a:rPr>
              <a:t>Petroleum Exploration Expenditure</a:t>
            </a:r>
            <a:endParaRPr lang="en-AU" sz="1300">
              <a:effectLst/>
            </a:endParaRPr>
          </a:p>
          <a:p>
            <a:pPr>
              <a:defRPr/>
            </a:pPr>
            <a:r>
              <a:rPr lang="en-AU" sz="900"/>
              <a:t>Last 10 Calendar Years</a:t>
            </a:r>
          </a:p>
        </c:rich>
      </c:tx>
      <c:overlay val="0"/>
    </c:title>
    <c:autoTitleDeleted val="0"/>
    <c:plotArea>
      <c:layout>
        <c:manualLayout>
          <c:layoutTarget val="inner"/>
          <c:xMode val="edge"/>
          <c:yMode val="edge"/>
          <c:x val="0.15330887855885483"/>
          <c:y val="0.25332034647858448"/>
          <c:w val="0.75816146475666446"/>
          <c:h val="0.55190843827666558"/>
        </c:manualLayout>
      </c:layout>
      <c:barChart>
        <c:barDir val="col"/>
        <c:grouping val="stacked"/>
        <c:varyColors val="0"/>
        <c:ser>
          <c:idx val="1"/>
          <c:order val="0"/>
          <c:tx>
            <c:v>Western Australia</c:v>
          </c:tx>
          <c:spPr>
            <a:solidFill>
              <a:srgbClr val="F79646"/>
            </a:solidFill>
          </c:spPr>
          <c:invertIfNegative val="0"/>
          <c:cat>
            <c:numRef>
              <c:f>'Pet. Exploration Expenditure'!$H$8:$H$17</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'Pet. Exploration Expenditure'!$I$8:$I$17</c:f>
              <c:numCache>
                <c:formatCode>#,##0</c:formatCode>
                <c:ptCount val="10"/>
                <c:pt idx="0">
                  <c:v>2757.9</c:v>
                </c:pt>
                <c:pt idx="1">
                  <c:v>1617.1</c:v>
                </c:pt>
                <c:pt idx="2">
                  <c:v>995.99999999999989</c:v>
                </c:pt>
                <c:pt idx="3">
                  <c:v>492.5</c:v>
                </c:pt>
                <c:pt idx="4">
                  <c:v>672.30000000000007</c:v>
                </c:pt>
                <c:pt idx="5">
                  <c:v>749.30000000000007</c:v>
                </c:pt>
                <c:pt idx="6">
                  <c:v>416.70000000000005</c:v>
                </c:pt>
                <c:pt idx="7">
                  <c:v>488.8</c:v>
                </c:pt>
                <c:pt idx="8">
                  <c:v>445.4</c:v>
                </c:pt>
                <c:pt idx="9">
                  <c:v>481.40000000000003</c:v>
                </c:pt>
              </c:numCache>
            </c:numRef>
          </c:val>
          <c:extLst>
            <c:ext xmlns:c16="http://schemas.microsoft.com/office/drawing/2014/chart" uri="{C3380CC4-5D6E-409C-BE32-E72D297353CC}">
              <c16:uniqueId val="{00000000-AC57-4E1E-B152-329C3F76F78B}"/>
            </c:ext>
          </c:extLst>
        </c:ser>
        <c:ser>
          <c:idx val="2"/>
          <c:order val="1"/>
          <c:tx>
            <c:v>Rest of Australia</c:v>
          </c:tx>
          <c:spPr>
            <a:solidFill>
              <a:srgbClr val="FAC090"/>
            </a:solidFill>
          </c:spPr>
          <c:invertIfNegative val="0"/>
          <c:cat>
            <c:numRef>
              <c:f>'Pet. Exploration Expenditure'!$H$8:$H$17</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'Pet. Exploration Expenditure'!$J$8:$J$17</c:f>
              <c:numCache>
                <c:formatCode>#,##0</c:formatCode>
                <c:ptCount val="10"/>
                <c:pt idx="0">
                  <c:v>1980.9999999999995</c:v>
                </c:pt>
                <c:pt idx="1">
                  <c:v>1106.2000000000003</c:v>
                </c:pt>
                <c:pt idx="2">
                  <c:v>405.70000000000016</c:v>
                </c:pt>
                <c:pt idx="3">
                  <c:v>721.7</c:v>
                </c:pt>
                <c:pt idx="4">
                  <c:v>487.39999999999975</c:v>
                </c:pt>
                <c:pt idx="5">
                  <c:v>635.4</c:v>
                </c:pt>
                <c:pt idx="6">
                  <c:v>577.99999999999989</c:v>
                </c:pt>
                <c:pt idx="7">
                  <c:v>642.29999999999995</c:v>
                </c:pt>
                <c:pt idx="8">
                  <c:v>525.40000000000009</c:v>
                </c:pt>
                <c:pt idx="9">
                  <c:v>579.5</c:v>
                </c:pt>
              </c:numCache>
            </c:numRef>
          </c:val>
          <c:extLst>
            <c:ext xmlns:c16="http://schemas.microsoft.com/office/drawing/2014/chart" uri="{C3380CC4-5D6E-409C-BE32-E72D297353CC}">
              <c16:uniqueId val="{00000001-AC57-4E1E-B152-329C3F76F78B}"/>
            </c:ext>
          </c:extLst>
        </c:ser>
        <c:dLbls>
          <c:showLegendKey val="0"/>
          <c:showVal val="0"/>
          <c:showCatName val="0"/>
          <c:showSerName val="0"/>
          <c:showPercent val="0"/>
          <c:showBubbleSize val="0"/>
        </c:dLbls>
        <c:gapWidth val="150"/>
        <c:overlap val="100"/>
        <c:axId val="430611072"/>
        <c:axId val="430617344"/>
      </c:barChart>
      <c:lineChart>
        <c:grouping val="standard"/>
        <c:varyColors val="0"/>
        <c:ser>
          <c:idx val="0"/>
          <c:order val="2"/>
          <c:tx>
            <c:strRef>
              <c:f>'Pet. Exploration Expenditure'!$L$7</c:f>
              <c:strCache>
                <c:ptCount val="1"/>
                <c:pt idx="0">
                  <c:v>Western Australia Share of Australia</c:v>
                </c:pt>
              </c:strCache>
            </c:strRef>
          </c:tx>
          <c:spPr>
            <a:ln w="28575"/>
          </c:spPr>
          <c:marker>
            <c:symbol val="none"/>
          </c:marker>
          <c:cat>
            <c:numRef>
              <c:f>'Pet. Exploration Expenditure'!$H$8:$H$17</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'Pet. Exploration Expenditure'!$L$8:$L$17</c:f>
              <c:numCache>
                <c:formatCode>0%</c:formatCode>
                <c:ptCount val="10"/>
                <c:pt idx="0">
                  <c:v>0.5819704994830025</c:v>
                </c:pt>
                <c:pt idx="1">
                  <c:v>0.5938016377189439</c:v>
                </c:pt>
                <c:pt idx="2">
                  <c:v>0.71056574159948627</c:v>
                </c:pt>
                <c:pt idx="3">
                  <c:v>0.40561686707296984</c:v>
                </c:pt>
                <c:pt idx="4">
                  <c:v>0.57971889281710798</c:v>
                </c:pt>
                <c:pt idx="5">
                  <c:v>0.54112804217520039</c:v>
                </c:pt>
                <c:pt idx="6">
                  <c:v>0.41892027747059424</c:v>
                </c:pt>
                <c:pt idx="7">
                  <c:v>0.43214569887719922</c:v>
                </c:pt>
                <c:pt idx="8">
                  <c:v>0.45879686856201068</c:v>
                </c:pt>
                <c:pt idx="9">
                  <c:v>0.45376567065698936</c:v>
                </c:pt>
              </c:numCache>
            </c:numRef>
          </c:val>
          <c:smooth val="0"/>
          <c:extLst>
            <c:ext xmlns:c16="http://schemas.microsoft.com/office/drawing/2014/chart" uri="{C3380CC4-5D6E-409C-BE32-E72D297353CC}">
              <c16:uniqueId val="{00000002-AC57-4E1E-B152-329C3F76F78B}"/>
            </c:ext>
          </c:extLst>
        </c:ser>
        <c:dLbls>
          <c:showLegendKey val="0"/>
          <c:showVal val="0"/>
          <c:showCatName val="0"/>
          <c:showSerName val="0"/>
          <c:showPercent val="0"/>
          <c:showBubbleSize val="0"/>
        </c:dLbls>
        <c:marker val="1"/>
        <c:smooth val="0"/>
        <c:axId val="1338702792"/>
        <c:axId val="1338708368"/>
      </c:lineChart>
      <c:catAx>
        <c:axId val="430611072"/>
        <c:scaling>
          <c:orientation val="minMax"/>
        </c:scaling>
        <c:delete val="0"/>
        <c:axPos val="b"/>
        <c:title>
          <c:tx>
            <c:rich>
              <a:bodyPr/>
              <a:lstStyle/>
              <a:p>
                <a:pPr>
                  <a:defRPr sz="900"/>
                </a:pPr>
                <a:r>
                  <a:rPr lang="en-AU" sz="900"/>
                  <a:t>Source: ABS</a:t>
                </a:r>
              </a:p>
            </c:rich>
          </c:tx>
          <c:layout>
            <c:manualLayout>
              <c:xMode val="edge"/>
              <c:yMode val="edge"/>
              <c:x val="1.4153294129373068E-2"/>
              <c:y val="0.93897871722397885"/>
            </c:manualLayout>
          </c:layout>
          <c:overlay val="0"/>
        </c:title>
        <c:numFmt formatCode="General" sourceLinked="1"/>
        <c:majorTickMark val="out"/>
        <c:minorTickMark val="none"/>
        <c:tickLblPos val="nextTo"/>
        <c:txPr>
          <a:bodyPr rot="-2700000"/>
          <a:lstStyle/>
          <a:p>
            <a:pPr>
              <a:defRPr/>
            </a:pPr>
            <a:endParaRPr lang="en-US"/>
          </a:p>
        </c:txPr>
        <c:crossAx val="430617344"/>
        <c:crosses val="autoZero"/>
        <c:auto val="1"/>
        <c:lblAlgn val="ctr"/>
        <c:lblOffset val="100"/>
        <c:noMultiLvlLbl val="0"/>
      </c:catAx>
      <c:valAx>
        <c:axId val="430617344"/>
        <c:scaling>
          <c:orientation val="minMax"/>
        </c:scaling>
        <c:delete val="0"/>
        <c:axPos val="l"/>
        <c:majorGridlines/>
        <c:title>
          <c:tx>
            <c:rich>
              <a:bodyPr rot="-5400000" vert="horz"/>
              <a:lstStyle/>
              <a:p>
                <a:pPr>
                  <a:defRPr/>
                </a:pPr>
                <a:r>
                  <a:rPr lang="en-AU"/>
                  <a:t>$ Million</a:t>
                </a:r>
              </a:p>
            </c:rich>
          </c:tx>
          <c:layout>
            <c:manualLayout>
              <c:xMode val="edge"/>
              <c:yMode val="edge"/>
              <c:x val="2.1419009370816599E-2"/>
              <c:y val="0.46282599859119744"/>
            </c:manualLayout>
          </c:layout>
          <c:overlay val="0"/>
        </c:title>
        <c:numFmt formatCode="#,##0" sourceLinked="1"/>
        <c:majorTickMark val="out"/>
        <c:minorTickMark val="none"/>
        <c:tickLblPos val="nextTo"/>
        <c:crossAx val="430611072"/>
        <c:crosses val="autoZero"/>
        <c:crossBetween val="between"/>
        <c:majorUnit val="1000"/>
      </c:valAx>
      <c:valAx>
        <c:axId val="1338708368"/>
        <c:scaling>
          <c:orientation val="minMax"/>
          <c:max val="1"/>
        </c:scaling>
        <c:delete val="0"/>
        <c:axPos val="r"/>
        <c:numFmt formatCode="0%" sourceLinked="1"/>
        <c:majorTickMark val="out"/>
        <c:minorTickMark val="none"/>
        <c:tickLblPos val="nextTo"/>
        <c:crossAx val="1338702792"/>
        <c:crosses val="max"/>
        <c:crossBetween val="between"/>
        <c:majorUnit val="0.2"/>
      </c:valAx>
      <c:catAx>
        <c:axId val="1338702792"/>
        <c:scaling>
          <c:orientation val="minMax"/>
        </c:scaling>
        <c:delete val="1"/>
        <c:axPos val="b"/>
        <c:numFmt formatCode="General" sourceLinked="1"/>
        <c:majorTickMark val="out"/>
        <c:minorTickMark val="none"/>
        <c:tickLblPos val="nextTo"/>
        <c:crossAx val="1338708368"/>
        <c:crosses val="autoZero"/>
        <c:auto val="1"/>
        <c:lblAlgn val="ctr"/>
        <c:lblOffset val="100"/>
        <c:noMultiLvlLbl val="0"/>
      </c:catAx>
    </c:plotArea>
    <c:legend>
      <c:legendPos val="t"/>
      <c:layout>
        <c:manualLayout>
          <c:xMode val="edge"/>
          <c:yMode val="edge"/>
          <c:x val="8.0321285140562242E-3"/>
          <c:y val="0.1316754938985327"/>
          <c:w val="0.98929049531459168"/>
          <c:h val="8.9873413894706988E-2"/>
        </c:manualLayout>
      </c:layout>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a:defRPr/>
            </a:pPr>
            <a:r>
              <a:rPr lang="en-AU" sz="1300"/>
              <a:t>Petroleum Exploration Expenditure</a:t>
            </a:r>
          </a:p>
          <a:p>
            <a:pPr>
              <a:defRPr/>
            </a:pPr>
            <a:r>
              <a:rPr lang="en-AU" sz="900"/>
              <a:t>Last 10 Financial Years</a:t>
            </a:r>
          </a:p>
        </c:rich>
      </c:tx>
      <c:overlay val="0"/>
    </c:title>
    <c:autoTitleDeleted val="0"/>
    <c:plotArea>
      <c:layout>
        <c:manualLayout>
          <c:layoutTarget val="inner"/>
          <c:xMode val="edge"/>
          <c:yMode val="edge"/>
          <c:x val="0.15148377286172562"/>
          <c:y val="0.25713821709913137"/>
          <c:w val="0.76104049493813275"/>
          <c:h val="0.51246595787785487"/>
        </c:manualLayout>
      </c:layout>
      <c:barChart>
        <c:barDir val="col"/>
        <c:grouping val="stacked"/>
        <c:varyColors val="0"/>
        <c:ser>
          <c:idx val="1"/>
          <c:order val="0"/>
          <c:tx>
            <c:v>Western Australia</c:v>
          </c:tx>
          <c:spPr>
            <a:solidFill>
              <a:srgbClr val="F79646"/>
            </a:solidFill>
          </c:spPr>
          <c:invertIfNegative val="0"/>
          <c:dPt>
            <c:idx val="9"/>
            <c:invertIfNegative val="0"/>
            <c:bubble3D val="0"/>
            <c:extLst>
              <c:ext xmlns:c16="http://schemas.microsoft.com/office/drawing/2014/chart" uri="{C3380CC4-5D6E-409C-BE32-E72D297353CC}">
                <c16:uniqueId val="{00000000-E133-48C8-9BF5-0DC4DE338F25}"/>
              </c:ext>
            </c:extLst>
          </c:dPt>
          <c:cat>
            <c:strRef>
              <c:f>'Pet. Exploration Expenditure'!$N$8:$N$17</c:f>
              <c:strCache>
                <c:ptCount val="10"/>
                <c:pt idx="0">
                  <c:v>2014-15</c:v>
                </c:pt>
                <c:pt idx="1">
                  <c:v>2015-16</c:v>
                </c:pt>
                <c:pt idx="2">
                  <c:v>2016-17</c:v>
                </c:pt>
                <c:pt idx="3">
                  <c:v>2017-18</c:v>
                </c:pt>
                <c:pt idx="4">
                  <c:v>2018-19</c:v>
                </c:pt>
                <c:pt idx="5">
                  <c:v>2019-20</c:v>
                </c:pt>
                <c:pt idx="6">
                  <c:v>2020-21</c:v>
                </c:pt>
                <c:pt idx="7">
                  <c:v>2021-22</c:v>
                </c:pt>
                <c:pt idx="8">
                  <c:v>2022-23</c:v>
                </c:pt>
                <c:pt idx="9">
                  <c:v>2023-24</c:v>
                </c:pt>
              </c:strCache>
            </c:strRef>
          </c:cat>
          <c:val>
            <c:numRef>
              <c:f>'Pet. Exploration Expenditure'!$O$8:$O$17</c:f>
              <c:numCache>
                <c:formatCode>#,##0</c:formatCode>
                <c:ptCount val="10"/>
                <c:pt idx="0">
                  <c:v>2068.9</c:v>
                </c:pt>
                <c:pt idx="1">
                  <c:v>1297.4000000000001</c:v>
                </c:pt>
                <c:pt idx="2">
                  <c:v>651.5</c:v>
                </c:pt>
                <c:pt idx="3">
                  <c:v>562.29999999999995</c:v>
                </c:pt>
                <c:pt idx="4">
                  <c:v>734.3</c:v>
                </c:pt>
                <c:pt idx="5">
                  <c:v>595.5</c:v>
                </c:pt>
                <c:pt idx="6">
                  <c:v>441.90000000000003</c:v>
                </c:pt>
                <c:pt idx="7">
                  <c:v>567</c:v>
                </c:pt>
                <c:pt idx="8">
                  <c:v>354.29999999999995</c:v>
                </c:pt>
                <c:pt idx="9">
                  <c:v>568.70000000000005</c:v>
                </c:pt>
              </c:numCache>
            </c:numRef>
          </c:val>
          <c:extLst>
            <c:ext xmlns:c16="http://schemas.microsoft.com/office/drawing/2014/chart" uri="{C3380CC4-5D6E-409C-BE32-E72D297353CC}">
              <c16:uniqueId val="{00000001-E133-48C8-9BF5-0DC4DE338F25}"/>
            </c:ext>
          </c:extLst>
        </c:ser>
        <c:ser>
          <c:idx val="2"/>
          <c:order val="1"/>
          <c:tx>
            <c:v>Rest of Australia</c:v>
          </c:tx>
          <c:spPr>
            <a:solidFill>
              <a:srgbClr val="FAC090"/>
            </a:solidFill>
          </c:spPr>
          <c:invertIfNegative val="0"/>
          <c:dPt>
            <c:idx val="9"/>
            <c:invertIfNegative val="0"/>
            <c:bubble3D val="0"/>
            <c:extLst>
              <c:ext xmlns:c16="http://schemas.microsoft.com/office/drawing/2014/chart" uri="{C3380CC4-5D6E-409C-BE32-E72D297353CC}">
                <c16:uniqueId val="{00000002-E133-48C8-9BF5-0DC4DE338F25}"/>
              </c:ext>
            </c:extLst>
          </c:dPt>
          <c:cat>
            <c:strRef>
              <c:f>'Pet. Exploration Expenditure'!$N$8:$N$17</c:f>
              <c:strCache>
                <c:ptCount val="10"/>
                <c:pt idx="0">
                  <c:v>2014-15</c:v>
                </c:pt>
                <c:pt idx="1">
                  <c:v>2015-16</c:v>
                </c:pt>
                <c:pt idx="2">
                  <c:v>2016-17</c:v>
                </c:pt>
                <c:pt idx="3">
                  <c:v>2017-18</c:v>
                </c:pt>
                <c:pt idx="4">
                  <c:v>2018-19</c:v>
                </c:pt>
                <c:pt idx="5">
                  <c:v>2019-20</c:v>
                </c:pt>
                <c:pt idx="6">
                  <c:v>2020-21</c:v>
                </c:pt>
                <c:pt idx="7">
                  <c:v>2021-22</c:v>
                </c:pt>
                <c:pt idx="8">
                  <c:v>2022-23</c:v>
                </c:pt>
                <c:pt idx="9">
                  <c:v>2023-24</c:v>
                </c:pt>
              </c:strCache>
            </c:strRef>
          </c:cat>
          <c:val>
            <c:numRef>
              <c:f>'Pet. Exploration Expenditure'!$P$8:$P$17</c:f>
              <c:numCache>
                <c:formatCode>#,##0</c:formatCode>
                <c:ptCount val="10"/>
                <c:pt idx="0">
                  <c:v>1722.4999999999995</c:v>
                </c:pt>
                <c:pt idx="1">
                  <c:v>478.80000000000018</c:v>
                </c:pt>
                <c:pt idx="2">
                  <c:v>724.5</c:v>
                </c:pt>
                <c:pt idx="3">
                  <c:v>465.70000000000005</c:v>
                </c:pt>
                <c:pt idx="4">
                  <c:v>526.20000000000005</c:v>
                </c:pt>
                <c:pt idx="5">
                  <c:v>667.30000000000018</c:v>
                </c:pt>
                <c:pt idx="6">
                  <c:v>557.70000000000005</c:v>
                </c:pt>
                <c:pt idx="7">
                  <c:v>581</c:v>
                </c:pt>
                <c:pt idx="8">
                  <c:v>554.6</c:v>
                </c:pt>
                <c:pt idx="9">
                  <c:v>685.2</c:v>
                </c:pt>
              </c:numCache>
            </c:numRef>
          </c:val>
          <c:extLst>
            <c:ext xmlns:c16="http://schemas.microsoft.com/office/drawing/2014/chart" uri="{C3380CC4-5D6E-409C-BE32-E72D297353CC}">
              <c16:uniqueId val="{00000003-E133-48C8-9BF5-0DC4DE338F25}"/>
            </c:ext>
          </c:extLst>
        </c:ser>
        <c:dLbls>
          <c:showLegendKey val="0"/>
          <c:showVal val="0"/>
          <c:showCatName val="0"/>
          <c:showSerName val="0"/>
          <c:showPercent val="0"/>
          <c:showBubbleSize val="0"/>
        </c:dLbls>
        <c:gapWidth val="150"/>
        <c:overlap val="100"/>
        <c:axId val="430787200"/>
        <c:axId val="430793472"/>
      </c:barChart>
      <c:lineChart>
        <c:grouping val="standard"/>
        <c:varyColors val="0"/>
        <c:ser>
          <c:idx val="0"/>
          <c:order val="2"/>
          <c:tx>
            <c:strRef>
              <c:f>'Pet. Exploration Expenditure'!$R$7</c:f>
              <c:strCache>
                <c:ptCount val="1"/>
                <c:pt idx="0">
                  <c:v>Western Australia Share of Australia</c:v>
                </c:pt>
              </c:strCache>
            </c:strRef>
          </c:tx>
          <c:spPr>
            <a:ln w="28575"/>
          </c:spPr>
          <c:marker>
            <c:symbol val="none"/>
          </c:marker>
          <c:cat>
            <c:strRef>
              <c:f>'Pet. Exploration Expenditure'!$N$8:$N$17</c:f>
              <c:strCache>
                <c:ptCount val="10"/>
                <c:pt idx="0">
                  <c:v>2014-15</c:v>
                </c:pt>
                <c:pt idx="1">
                  <c:v>2015-16</c:v>
                </c:pt>
                <c:pt idx="2">
                  <c:v>2016-17</c:v>
                </c:pt>
                <c:pt idx="3">
                  <c:v>2017-18</c:v>
                </c:pt>
                <c:pt idx="4">
                  <c:v>2018-19</c:v>
                </c:pt>
                <c:pt idx="5">
                  <c:v>2019-20</c:v>
                </c:pt>
                <c:pt idx="6">
                  <c:v>2020-21</c:v>
                </c:pt>
                <c:pt idx="7">
                  <c:v>2021-22</c:v>
                </c:pt>
                <c:pt idx="8">
                  <c:v>2022-23</c:v>
                </c:pt>
                <c:pt idx="9">
                  <c:v>2023-24</c:v>
                </c:pt>
              </c:strCache>
            </c:strRef>
          </c:cat>
          <c:val>
            <c:numRef>
              <c:f>'Pet. Exploration Expenditure'!$R$8:$R$17</c:f>
              <c:numCache>
                <c:formatCode>0%</c:formatCode>
                <c:ptCount val="10"/>
                <c:pt idx="0">
                  <c:v>0.54568233370259012</c:v>
                </c:pt>
                <c:pt idx="1">
                  <c:v>0.73043576173854285</c:v>
                </c:pt>
                <c:pt idx="2">
                  <c:v>0.47347383720930231</c:v>
                </c:pt>
                <c:pt idx="3">
                  <c:v>0.54698443579766531</c:v>
                </c:pt>
                <c:pt idx="4">
                  <c:v>0.58254660848869488</c:v>
                </c:pt>
                <c:pt idx="5">
                  <c:v>0.47157111181501421</c:v>
                </c:pt>
                <c:pt idx="6">
                  <c:v>0.44207683073229292</c:v>
                </c:pt>
                <c:pt idx="7">
                  <c:v>0.49390243902439024</c:v>
                </c:pt>
                <c:pt idx="8">
                  <c:v>0.38981186049070299</c:v>
                </c:pt>
                <c:pt idx="9">
                  <c:v>0.45354493978786187</c:v>
                </c:pt>
              </c:numCache>
            </c:numRef>
          </c:val>
          <c:smooth val="0"/>
          <c:extLst>
            <c:ext xmlns:c16="http://schemas.microsoft.com/office/drawing/2014/chart" uri="{C3380CC4-5D6E-409C-BE32-E72D297353CC}">
              <c16:uniqueId val="{00000004-E133-48C8-9BF5-0DC4DE338F25}"/>
            </c:ext>
          </c:extLst>
        </c:ser>
        <c:dLbls>
          <c:showLegendKey val="0"/>
          <c:showVal val="0"/>
          <c:showCatName val="0"/>
          <c:showSerName val="0"/>
          <c:showPercent val="0"/>
          <c:showBubbleSize val="0"/>
        </c:dLbls>
        <c:marker val="1"/>
        <c:smooth val="0"/>
        <c:axId val="1289498608"/>
        <c:axId val="1289498280"/>
      </c:lineChart>
      <c:catAx>
        <c:axId val="430787200"/>
        <c:scaling>
          <c:orientation val="minMax"/>
        </c:scaling>
        <c:delete val="0"/>
        <c:axPos val="b"/>
        <c:title>
          <c:tx>
            <c:rich>
              <a:bodyPr/>
              <a:lstStyle/>
              <a:p>
                <a:pPr>
                  <a:defRPr sz="900"/>
                </a:pPr>
                <a:r>
                  <a:rPr lang="en-AU" sz="900"/>
                  <a:t>Source: ABS</a:t>
                </a:r>
              </a:p>
            </c:rich>
          </c:tx>
          <c:layout>
            <c:manualLayout>
              <c:xMode val="edge"/>
              <c:yMode val="edge"/>
              <c:x val="1.15777194517352E-2"/>
              <c:y val="0.94943916302274811"/>
            </c:manualLayout>
          </c:layout>
          <c:overlay val="0"/>
        </c:title>
        <c:numFmt formatCode="General" sourceLinked="1"/>
        <c:majorTickMark val="out"/>
        <c:minorTickMark val="none"/>
        <c:tickLblPos val="nextTo"/>
        <c:crossAx val="430793472"/>
        <c:crosses val="autoZero"/>
        <c:auto val="1"/>
        <c:lblAlgn val="ctr"/>
        <c:lblOffset val="100"/>
        <c:noMultiLvlLbl val="0"/>
      </c:catAx>
      <c:valAx>
        <c:axId val="430793472"/>
        <c:scaling>
          <c:orientation val="minMax"/>
          <c:max val="5000"/>
        </c:scaling>
        <c:delete val="0"/>
        <c:axPos val="l"/>
        <c:majorGridlines/>
        <c:title>
          <c:tx>
            <c:rich>
              <a:bodyPr rot="-5400000" vert="horz"/>
              <a:lstStyle/>
              <a:p>
                <a:pPr>
                  <a:defRPr/>
                </a:pPr>
                <a:r>
                  <a:rPr lang="en-AU"/>
                  <a:t>$ Million</a:t>
                </a:r>
              </a:p>
            </c:rich>
          </c:tx>
          <c:layout>
            <c:manualLayout>
              <c:xMode val="edge"/>
              <c:yMode val="edge"/>
              <c:x val="2.1164021164021163E-2"/>
              <c:y val="0.43243137503254453"/>
            </c:manualLayout>
          </c:layout>
          <c:overlay val="0"/>
        </c:title>
        <c:numFmt formatCode="#,##0" sourceLinked="1"/>
        <c:majorTickMark val="out"/>
        <c:minorTickMark val="none"/>
        <c:tickLblPos val="nextTo"/>
        <c:crossAx val="430787200"/>
        <c:crosses val="autoZero"/>
        <c:crossBetween val="between"/>
        <c:majorUnit val="1000"/>
      </c:valAx>
      <c:valAx>
        <c:axId val="1289498280"/>
        <c:scaling>
          <c:orientation val="minMax"/>
          <c:max val="1"/>
        </c:scaling>
        <c:delete val="0"/>
        <c:axPos val="r"/>
        <c:numFmt formatCode="0%" sourceLinked="1"/>
        <c:majorTickMark val="out"/>
        <c:minorTickMark val="none"/>
        <c:tickLblPos val="nextTo"/>
        <c:crossAx val="1289498608"/>
        <c:crosses val="max"/>
        <c:crossBetween val="between"/>
        <c:majorUnit val="0.2"/>
      </c:valAx>
      <c:catAx>
        <c:axId val="1289498608"/>
        <c:scaling>
          <c:orientation val="minMax"/>
        </c:scaling>
        <c:delete val="1"/>
        <c:axPos val="b"/>
        <c:numFmt formatCode="General" sourceLinked="1"/>
        <c:majorTickMark val="out"/>
        <c:minorTickMark val="none"/>
        <c:tickLblPos val="nextTo"/>
        <c:crossAx val="1289498280"/>
        <c:crosses val="autoZero"/>
        <c:auto val="1"/>
        <c:lblAlgn val="ctr"/>
        <c:lblOffset val="100"/>
        <c:noMultiLvlLbl val="0"/>
      </c:catAx>
    </c:plotArea>
    <c:legend>
      <c:legendPos val="t"/>
      <c:layout>
        <c:manualLayout>
          <c:xMode val="edge"/>
          <c:yMode val="edge"/>
          <c:x val="7.2278465191850929E-3"/>
          <c:y val="0.13266082810862603"/>
          <c:w val="0.99277215348081493"/>
          <c:h val="7.8079593700898481E-2"/>
        </c:manualLayout>
      </c:layout>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lgn="ctr">
              <a:defRPr sz="1800" b="1" i="0" u="none" strike="noStrike" kern="1200" baseline="0">
                <a:solidFill>
                  <a:schemeClr val="tx1"/>
                </a:solidFill>
                <a:latin typeface="+mn-lt"/>
                <a:ea typeface="+mn-ea"/>
                <a:cs typeface="+mn-cs"/>
              </a:defRPr>
            </a:pPr>
            <a:r>
              <a:rPr lang="en-AU" sz="1300" b="1" i="0" u="none" strike="noStrike" baseline="0">
                <a:effectLst/>
              </a:rPr>
              <a:t>Australia Petroleum Exploration Expenditure By Location</a:t>
            </a:r>
            <a:br>
              <a:rPr lang="en-AU" sz="1300" b="1" i="0" u="none" strike="noStrike" baseline="0">
                <a:effectLst/>
              </a:rPr>
            </a:br>
            <a:r>
              <a:rPr lang="en-AU" sz="900"/>
              <a:t>Last 10 Financial</a:t>
            </a:r>
            <a:r>
              <a:rPr lang="en-AU" sz="900" baseline="0"/>
              <a:t> Y</a:t>
            </a:r>
            <a:r>
              <a:rPr lang="en-AU" sz="900"/>
              <a:t>ears</a:t>
            </a:r>
          </a:p>
        </c:rich>
      </c:tx>
      <c:layout>
        <c:manualLayout>
          <c:xMode val="edge"/>
          <c:yMode val="edge"/>
          <c:x val="0.27304361858372905"/>
          <c:y val="2.651515863267799E-2"/>
        </c:manualLayout>
      </c:layout>
      <c:overlay val="0"/>
      <c:spPr>
        <a:noFill/>
        <a:ln>
          <a:noFill/>
        </a:ln>
        <a:effectLst/>
      </c:spPr>
      <c:txPr>
        <a:bodyPr rot="0" spcFirstLastPara="1" vertOverflow="ellipsis" vert="horz" wrap="square" anchor="ctr" anchorCtr="1"/>
        <a:lstStyle/>
        <a:p>
          <a:pPr algn="ctr">
            <a:defRPr sz="1800" b="1" i="0" u="none" strike="noStrike" kern="1200" baseline="0">
              <a:solidFill>
                <a:schemeClr val="tx1"/>
              </a:solidFill>
              <a:latin typeface="+mn-lt"/>
              <a:ea typeface="+mn-ea"/>
              <a:cs typeface="+mn-cs"/>
            </a:defRPr>
          </a:pPr>
          <a:endParaRPr lang="en-US"/>
        </a:p>
      </c:txPr>
    </c:title>
    <c:autoTitleDeleted val="0"/>
    <c:plotArea>
      <c:layout>
        <c:manualLayout>
          <c:layoutTarget val="inner"/>
          <c:xMode val="edge"/>
          <c:yMode val="edge"/>
          <c:x val="0.10997529170916298"/>
          <c:y val="0.21265407760339713"/>
          <c:w val="0.84473712128115686"/>
          <c:h val="0.65751170872162934"/>
        </c:manualLayout>
      </c:layout>
      <c:barChart>
        <c:barDir val="col"/>
        <c:grouping val="stacked"/>
        <c:varyColors val="0"/>
        <c:ser>
          <c:idx val="3"/>
          <c:order val="0"/>
          <c:tx>
            <c:v>Onshore drilling</c:v>
          </c:tx>
          <c:spPr>
            <a:solidFill>
              <a:schemeClr val="accent6">
                <a:tint val="77000"/>
              </a:schemeClr>
            </a:solidFill>
            <a:ln>
              <a:noFill/>
            </a:ln>
            <a:effectLst/>
          </c:spPr>
          <c:invertIfNegative val="0"/>
          <c:cat>
            <c:strRef>
              <c:f>'Pet. Expl. By Location'!$W$8:$W$17</c:f>
              <c:strCache>
                <c:ptCount val="10"/>
                <c:pt idx="0">
                  <c:v>2014-15</c:v>
                </c:pt>
                <c:pt idx="1">
                  <c:v>2015-16</c:v>
                </c:pt>
                <c:pt idx="2">
                  <c:v>2016-17</c:v>
                </c:pt>
                <c:pt idx="3">
                  <c:v>2017-18</c:v>
                </c:pt>
                <c:pt idx="4">
                  <c:v>2018-19</c:v>
                </c:pt>
                <c:pt idx="5">
                  <c:v>2019-20</c:v>
                </c:pt>
                <c:pt idx="6">
                  <c:v>2020-21</c:v>
                </c:pt>
                <c:pt idx="7">
                  <c:v>2021-22</c:v>
                </c:pt>
                <c:pt idx="8">
                  <c:v>2022-23</c:v>
                </c:pt>
                <c:pt idx="9">
                  <c:v>2023-24</c:v>
                </c:pt>
              </c:strCache>
            </c:strRef>
          </c:cat>
          <c:val>
            <c:numRef>
              <c:f>'Pet. Expl. By Location'!$X$8:$X$17</c:f>
              <c:numCache>
                <c:formatCode>#,##0_ ;\-#,##0\ </c:formatCode>
                <c:ptCount val="10"/>
                <c:pt idx="0">
                  <c:v>761.7</c:v>
                </c:pt>
                <c:pt idx="1">
                  <c:v>240.39999999999998</c:v>
                </c:pt>
                <c:pt idx="2">
                  <c:v>244.6</c:v>
                </c:pt>
                <c:pt idx="3">
                  <c:v>206.3</c:v>
                </c:pt>
                <c:pt idx="4">
                  <c:v>298.39999999999998</c:v>
                </c:pt>
                <c:pt idx="5">
                  <c:v>473.9</c:v>
                </c:pt>
                <c:pt idx="6">
                  <c:v>389.00000000000006</c:v>
                </c:pt>
                <c:pt idx="7">
                  <c:v>441.9</c:v>
                </c:pt>
                <c:pt idx="8">
                  <c:v>345</c:v>
                </c:pt>
                <c:pt idx="9">
                  <c:v>491.8</c:v>
                </c:pt>
              </c:numCache>
            </c:numRef>
          </c:val>
          <c:extLst>
            <c:ext xmlns:c16="http://schemas.microsoft.com/office/drawing/2014/chart" uri="{C3380CC4-5D6E-409C-BE32-E72D297353CC}">
              <c16:uniqueId val="{00000000-FBBC-4CF6-A388-04E070EE3DB3}"/>
            </c:ext>
          </c:extLst>
        </c:ser>
        <c:ser>
          <c:idx val="0"/>
          <c:order val="1"/>
          <c:tx>
            <c:v>Onshore other</c:v>
          </c:tx>
          <c:spPr>
            <a:solidFill>
              <a:schemeClr val="accent6">
                <a:shade val="53000"/>
              </a:schemeClr>
            </a:solidFill>
            <a:ln>
              <a:noFill/>
            </a:ln>
            <a:effectLst/>
          </c:spPr>
          <c:invertIfNegative val="0"/>
          <c:cat>
            <c:strRef>
              <c:f>'Pet. Expl. By Location'!$W$8:$W$17</c:f>
              <c:strCache>
                <c:ptCount val="10"/>
                <c:pt idx="0">
                  <c:v>2014-15</c:v>
                </c:pt>
                <c:pt idx="1">
                  <c:v>2015-16</c:v>
                </c:pt>
                <c:pt idx="2">
                  <c:v>2016-17</c:v>
                </c:pt>
                <c:pt idx="3">
                  <c:v>2017-18</c:v>
                </c:pt>
                <c:pt idx="4">
                  <c:v>2018-19</c:v>
                </c:pt>
                <c:pt idx="5">
                  <c:v>2019-20</c:v>
                </c:pt>
                <c:pt idx="6">
                  <c:v>2020-21</c:v>
                </c:pt>
                <c:pt idx="7">
                  <c:v>2021-22</c:v>
                </c:pt>
                <c:pt idx="8">
                  <c:v>2022-23</c:v>
                </c:pt>
                <c:pt idx="9">
                  <c:v>2023-24</c:v>
                </c:pt>
              </c:strCache>
            </c:strRef>
          </c:cat>
          <c:val>
            <c:numRef>
              <c:f>'Pet. Expl. By Location'!$Y$8:$Y$17</c:f>
              <c:numCache>
                <c:formatCode>#,##0_ ;\-#,##0\ </c:formatCode>
                <c:ptCount val="10"/>
                <c:pt idx="0">
                  <c:v>478.70000000000005</c:v>
                </c:pt>
                <c:pt idx="1">
                  <c:v>248.9</c:v>
                </c:pt>
                <c:pt idx="2">
                  <c:v>190.4</c:v>
                </c:pt>
                <c:pt idx="3">
                  <c:v>144.5</c:v>
                </c:pt>
                <c:pt idx="4">
                  <c:v>141.10000000000002</c:v>
                </c:pt>
                <c:pt idx="5">
                  <c:v>194.8</c:v>
                </c:pt>
                <c:pt idx="6">
                  <c:v>240.5</c:v>
                </c:pt>
                <c:pt idx="7">
                  <c:v>240.6</c:v>
                </c:pt>
                <c:pt idx="8">
                  <c:v>251.70000000000002</c:v>
                </c:pt>
                <c:pt idx="9">
                  <c:v>312.89999999999998</c:v>
                </c:pt>
              </c:numCache>
            </c:numRef>
          </c:val>
          <c:extLst>
            <c:ext xmlns:c16="http://schemas.microsoft.com/office/drawing/2014/chart" uri="{C3380CC4-5D6E-409C-BE32-E72D297353CC}">
              <c16:uniqueId val="{00000001-FBBC-4CF6-A388-04E070EE3DB3}"/>
            </c:ext>
          </c:extLst>
        </c:ser>
        <c:ser>
          <c:idx val="2"/>
          <c:order val="2"/>
          <c:tx>
            <c:v>Offshore drilling</c:v>
          </c:tx>
          <c:spPr>
            <a:solidFill>
              <a:schemeClr val="accent6"/>
            </a:solidFill>
            <a:ln>
              <a:noFill/>
            </a:ln>
            <a:effectLst/>
          </c:spPr>
          <c:invertIfNegative val="0"/>
          <c:cat>
            <c:strRef>
              <c:f>'Pet. Expl. By Location'!$W$8:$W$17</c:f>
              <c:strCache>
                <c:ptCount val="10"/>
                <c:pt idx="0">
                  <c:v>2014-15</c:v>
                </c:pt>
                <c:pt idx="1">
                  <c:v>2015-16</c:v>
                </c:pt>
                <c:pt idx="2">
                  <c:v>2016-17</c:v>
                </c:pt>
                <c:pt idx="3">
                  <c:v>2017-18</c:v>
                </c:pt>
                <c:pt idx="4">
                  <c:v>2018-19</c:v>
                </c:pt>
                <c:pt idx="5">
                  <c:v>2019-20</c:v>
                </c:pt>
                <c:pt idx="6">
                  <c:v>2020-21</c:v>
                </c:pt>
                <c:pt idx="7">
                  <c:v>2021-22</c:v>
                </c:pt>
                <c:pt idx="8">
                  <c:v>2022-23</c:v>
                </c:pt>
                <c:pt idx="9">
                  <c:v>2023-24</c:v>
                </c:pt>
              </c:strCache>
            </c:strRef>
          </c:cat>
          <c:val>
            <c:numRef>
              <c:f>'Pet. Expl. By Location'!$AA$8:$AA$17</c:f>
              <c:numCache>
                <c:formatCode>#,##0_ ;\-#,##0\ </c:formatCode>
                <c:ptCount val="10"/>
                <c:pt idx="0">
                  <c:v>1964.2000000000003</c:v>
                </c:pt>
                <c:pt idx="1">
                  <c:v>888.3</c:v>
                </c:pt>
                <c:pt idx="2">
                  <c:v>540.6</c:v>
                </c:pt>
                <c:pt idx="3">
                  <c:v>314.39999999999998</c:v>
                </c:pt>
                <c:pt idx="4">
                  <c:v>396.5</c:v>
                </c:pt>
                <c:pt idx="5">
                  <c:v>235.1</c:v>
                </c:pt>
                <c:pt idx="6">
                  <c:v>80.199999999999989</c:v>
                </c:pt>
                <c:pt idx="7">
                  <c:v>219.10000000000002</c:v>
                </c:pt>
                <c:pt idx="8">
                  <c:v>94.199999999999989</c:v>
                </c:pt>
                <c:pt idx="9">
                  <c:v>219.6</c:v>
                </c:pt>
              </c:numCache>
            </c:numRef>
          </c:val>
          <c:extLst>
            <c:ext xmlns:c16="http://schemas.microsoft.com/office/drawing/2014/chart" uri="{C3380CC4-5D6E-409C-BE32-E72D297353CC}">
              <c16:uniqueId val="{00000002-FBBC-4CF6-A388-04E070EE3DB3}"/>
            </c:ext>
          </c:extLst>
        </c:ser>
        <c:ser>
          <c:idx val="1"/>
          <c:order val="3"/>
          <c:tx>
            <c:v>Offshore other</c:v>
          </c:tx>
          <c:spPr>
            <a:solidFill>
              <a:schemeClr val="accent6">
                <a:shade val="76000"/>
              </a:schemeClr>
            </a:solidFill>
            <a:ln>
              <a:noFill/>
            </a:ln>
            <a:effectLst/>
          </c:spPr>
          <c:invertIfNegative val="0"/>
          <c:cat>
            <c:strRef>
              <c:f>'Pet. Expl. By Location'!$W$8:$W$17</c:f>
              <c:strCache>
                <c:ptCount val="10"/>
                <c:pt idx="0">
                  <c:v>2014-15</c:v>
                </c:pt>
                <c:pt idx="1">
                  <c:v>2015-16</c:v>
                </c:pt>
                <c:pt idx="2">
                  <c:v>2016-17</c:v>
                </c:pt>
                <c:pt idx="3">
                  <c:v>2017-18</c:v>
                </c:pt>
                <c:pt idx="4">
                  <c:v>2018-19</c:v>
                </c:pt>
                <c:pt idx="5">
                  <c:v>2019-20</c:v>
                </c:pt>
                <c:pt idx="6">
                  <c:v>2020-21</c:v>
                </c:pt>
                <c:pt idx="7">
                  <c:v>2021-22</c:v>
                </c:pt>
                <c:pt idx="8">
                  <c:v>2022-23</c:v>
                </c:pt>
                <c:pt idx="9">
                  <c:v>2023-24</c:v>
                </c:pt>
              </c:strCache>
            </c:strRef>
          </c:cat>
          <c:val>
            <c:numRef>
              <c:f>'Pet. Expl. By Location'!$AB$8:$AB$17</c:f>
              <c:numCache>
                <c:formatCode>#,##0_ ;\-#,##0\ </c:formatCode>
                <c:ptCount val="10"/>
                <c:pt idx="0">
                  <c:v>582.4</c:v>
                </c:pt>
                <c:pt idx="1">
                  <c:v>397.5</c:v>
                </c:pt>
                <c:pt idx="2">
                  <c:v>405.29999999999995</c:v>
                </c:pt>
                <c:pt idx="3">
                  <c:v>358.6</c:v>
                </c:pt>
                <c:pt idx="4">
                  <c:v>415.6</c:v>
                </c:pt>
                <c:pt idx="5">
                  <c:v>352.3</c:v>
                </c:pt>
                <c:pt idx="6">
                  <c:v>290.7</c:v>
                </c:pt>
                <c:pt idx="7">
                  <c:v>246.60000000000002</c:v>
                </c:pt>
                <c:pt idx="8">
                  <c:v>223.79999999999998</c:v>
                </c:pt>
                <c:pt idx="9">
                  <c:v>247.10000000000002</c:v>
                </c:pt>
              </c:numCache>
            </c:numRef>
          </c:val>
          <c:extLst>
            <c:ext xmlns:c16="http://schemas.microsoft.com/office/drawing/2014/chart" uri="{C3380CC4-5D6E-409C-BE32-E72D297353CC}">
              <c16:uniqueId val="{00000003-FBBC-4CF6-A388-04E070EE3DB3}"/>
            </c:ext>
          </c:extLst>
        </c:ser>
        <c:dLbls>
          <c:showLegendKey val="0"/>
          <c:showVal val="0"/>
          <c:showCatName val="0"/>
          <c:showSerName val="0"/>
          <c:showPercent val="0"/>
          <c:showBubbleSize val="0"/>
        </c:dLbls>
        <c:gapWidth val="150"/>
        <c:overlap val="100"/>
        <c:axId val="430611072"/>
        <c:axId val="430617344"/>
      </c:barChart>
      <c:lineChart>
        <c:grouping val="standard"/>
        <c:varyColors val="0"/>
        <c:ser>
          <c:idx val="4"/>
          <c:order val="4"/>
          <c:tx>
            <c:strRef>
              <c:f>'Pet. Expl. By Location'!$AD$7</c:f>
              <c:strCache>
                <c:ptCount val="1"/>
                <c:pt idx="0">
                  <c:v>Onshore Share of Australia </c:v>
                </c:pt>
              </c:strCache>
            </c:strRef>
          </c:tx>
          <c:spPr>
            <a:ln w="28575" cap="rnd" cmpd="sng" algn="ctr">
              <a:solidFill>
                <a:schemeClr val="accent6">
                  <a:tint val="54000"/>
                  <a:shade val="95000"/>
                  <a:satMod val="105000"/>
                </a:schemeClr>
              </a:solidFill>
              <a:prstDash val="solid"/>
              <a:round/>
            </a:ln>
            <a:effectLst/>
          </c:spPr>
          <c:marker>
            <c:symbol val="none"/>
          </c:marker>
          <c:cat>
            <c:strRef>
              <c:f>'Pet. Expl. By Location'!$W$8:$W$17</c:f>
              <c:strCache>
                <c:ptCount val="10"/>
                <c:pt idx="0">
                  <c:v>2014-15</c:v>
                </c:pt>
                <c:pt idx="1">
                  <c:v>2015-16</c:v>
                </c:pt>
                <c:pt idx="2">
                  <c:v>2016-17</c:v>
                </c:pt>
                <c:pt idx="3">
                  <c:v>2017-18</c:v>
                </c:pt>
                <c:pt idx="4">
                  <c:v>2018-19</c:v>
                </c:pt>
                <c:pt idx="5">
                  <c:v>2019-20</c:v>
                </c:pt>
                <c:pt idx="6">
                  <c:v>2020-21</c:v>
                </c:pt>
                <c:pt idx="7">
                  <c:v>2021-22</c:v>
                </c:pt>
                <c:pt idx="8">
                  <c:v>2022-23</c:v>
                </c:pt>
                <c:pt idx="9">
                  <c:v>2023-24</c:v>
                </c:pt>
              </c:strCache>
            </c:strRef>
          </c:cat>
          <c:val>
            <c:numRef>
              <c:f>'Pet. Expl. By Location'!$AD$8:$AD$17</c:f>
              <c:numCache>
                <c:formatCode>0%</c:formatCode>
                <c:ptCount val="10"/>
                <c:pt idx="0">
                  <c:v>0.32754158964879848</c:v>
                </c:pt>
                <c:pt idx="1">
                  <c:v>0.2756619718309859</c:v>
                </c:pt>
                <c:pt idx="2">
                  <c:v>0.31496633118528711</c:v>
                </c:pt>
                <c:pt idx="3">
                  <c:v>0.34270924895009275</c:v>
                </c:pt>
                <c:pt idx="4">
                  <c:v>0.35120236478389399</c:v>
                </c:pt>
                <c:pt idx="5">
                  <c:v>0.5324044585987262</c:v>
                </c:pt>
                <c:pt idx="6">
                  <c:v>0.62924830067972815</c:v>
                </c:pt>
                <c:pt idx="7">
                  <c:v>0.59440863960982404</c:v>
                </c:pt>
                <c:pt idx="8">
                  <c:v>0.65234503115775666</c:v>
                </c:pt>
                <c:pt idx="9">
                  <c:v>0.63287455760912303</c:v>
                </c:pt>
              </c:numCache>
            </c:numRef>
          </c:val>
          <c:smooth val="0"/>
          <c:extLst>
            <c:ext xmlns:c16="http://schemas.microsoft.com/office/drawing/2014/chart" uri="{C3380CC4-5D6E-409C-BE32-E72D297353CC}">
              <c16:uniqueId val="{00000004-FBBC-4CF6-A388-04E070EE3DB3}"/>
            </c:ext>
          </c:extLst>
        </c:ser>
        <c:dLbls>
          <c:showLegendKey val="0"/>
          <c:showVal val="0"/>
          <c:showCatName val="0"/>
          <c:showSerName val="0"/>
          <c:showPercent val="0"/>
          <c:showBubbleSize val="0"/>
        </c:dLbls>
        <c:marker val="1"/>
        <c:smooth val="0"/>
        <c:axId val="1257996704"/>
        <c:axId val="1258005232"/>
      </c:lineChart>
      <c:catAx>
        <c:axId val="430611072"/>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r>
                  <a:rPr lang="en-AU" sz="900"/>
                  <a:t>Source: ABS</a:t>
                </a:r>
              </a:p>
            </c:rich>
          </c:tx>
          <c:layout>
            <c:manualLayout>
              <c:xMode val="edge"/>
              <c:yMode val="edge"/>
              <c:x val="3.4937506824266286E-3"/>
              <c:y val="0.95539046264202665"/>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chemeClr val="tx1"/>
                </a:solidFill>
                <a:latin typeface="+mn-lt"/>
                <a:ea typeface="+mn-ea"/>
                <a:cs typeface="+mn-cs"/>
              </a:defRPr>
            </a:pPr>
            <a:endParaRPr lang="en-US"/>
          </a:p>
        </c:txPr>
        <c:crossAx val="430617344"/>
        <c:crosses val="autoZero"/>
        <c:auto val="1"/>
        <c:lblAlgn val="ctr"/>
        <c:lblOffset val="100"/>
        <c:noMultiLvlLbl val="0"/>
      </c:catAx>
      <c:valAx>
        <c:axId val="430617344"/>
        <c:scaling>
          <c:orientation val="minMax"/>
          <c:max val="500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AU"/>
                  <a:t>$ Million</a:t>
                </a:r>
              </a:p>
            </c:rich>
          </c:tx>
          <c:layout>
            <c:manualLayout>
              <c:xMode val="edge"/>
              <c:yMode val="edge"/>
              <c:x val="3.3667201296904765E-2"/>
              <c:y val="0.4425516956554566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30611072"/>
        <c:crosses val="autoZero"/>
        <c:crossBetween val="between"/>
        <c:majorUnit val="1000"/>
      </c:valAx>
      <c:valAx>
        <c:axId val="1258005232"/>
        <c:scaling>
          <c:orientation val="minMax"/>
          <c:max val="1"/>
        </c:scaling>
        <c:delete val="0"/>
        <c:axPos val="r"/>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257996704"/>
        <c:crosses val="max"/>
        <c:crossBetween val="between"/>
        <c:majorUnit val="0.2"/>
      </c:valAx>
      <c:catAx>
        <c:axId val="1257996704"/>
        <c:scaling>
          <c:orientation val="minMax"/>
        </c:scaling>
        <c:delete val="1"/>
        <c:axPos val="b"/>
        <c:numFmt formatCode="General" sourceLinked="1"/>
        <c:majorTickMark val="out"/>
        <c:minorTickMark val="none"/>
        <c:tickLblPos val="nextTo"/>
        <c:crossAx val="1258005232"/>
        <c:crosses val="autoZero"/>
        <c:auto val="1"/>
        <c:lblAlgn val="ctr"/>
        <c:lblOffset val="100"/>
        <c:noMultiLvlLbl val="0"/>
      </c:catAx>
      <c:spPr>
        <a:solidFill>
          <a:schemeClr val="bg1"/>
        </a:solidFill>
        <a:ln>
          <a:noFill/>
        </a:ln>
        <a:effectLst/>
      </c:spPr>
    </c:plotArea>
    <c:legend>
      <c:legendPos val="t"/>
      <c:layout>
        <c:manualLayout>
          <c:xMode val="edge"/>
          <c:yMode val="edge"/>
          <c:x val="0.20527409706344535"/>
          <c:y val="0.12953991189033665"/>
          <c:w val="0.78022023423900011"/>
          <c:h val="4.7940705855829054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r>
              <a:rPr lang="en-AU" sz="1300" b="1" i="0" u="none" strike="noStrike" baseline="0">
                <a:effectLst/>
              </a:rPr>
              <a:t>Australia Petroleum Exploration Expenditure By Location</a:t>
            </a:r>
            <a:br>
              <a:rPr lang="en-AU" sz="1800" b="1" i="0" u="none" strike="noStrike" baseline="0">
                <a:effectLst/>
              </a:rPr>
            </a:br>
            <a:r>
              <a:rPr lang="en-AU" sz="900"/>
              <a:t>Last 10 Calendar Years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n-US"/>
        </a:p>
      </c:txPr>
    </c:title>
    <c:autoTitleDeleted val="0"/>
    <c:plotArea>
      <c:layout>
        <c:manualLayout>
          <c:layoutTarget val="inner"/>
          <c:xMode val="edge"/>
          <c:yMode val="edge"/>
          <c:x val="0.10256442922504816"/>
          <c:y val="0.20735104587686151"/>
          <c:w val="0.85100073143891386"/>
          <c:h val="0.65751170872162934"/>
        </c:manualLayout>
      </c:layout>
      <c:barChart>
        <c:barDir val="col"/>
        <c:grouping val="stacked"/>
        <c:varyColors val="0"/>
        <c:ser>
          <c:idx val="3"/>
          <c:order val="0"/>
          <c:tx>
            <c:v>Onshore drilling</c:v>
          </c:tx>
          <c:spPr>
            <a:solidFill>
              <a:schemeClr val="accent6">
                <a:tint val="77000"/>
              </a:schemeClr>
            </a:solidFill>
            <a:ln>
              <a:noFill/>
            </a:ln>
            <a:effectLst/>
          </c:spPr>
          <c:invertIfNegative val="0"/>
          <c:cat>
            <c:numRef>
              <c:f>'Pet. Expl. By Location'!$N$8:$N$17</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'Pet. Expl. By Location'!$O$8:$O$17</c:f>
              <c:numCache>
                <c:formatCode>#,##0_ ;\-#,##0\ </c:formatCode>
                <c:ptCount val="10"/>
                <c:pt idx="0">
                  <c:v>764.4</c:v>
                </c:pt>
                <c:pt idx="1">
                  <c:v>521.4</c:v>
                </c:pt>
                <c:pt idx="2">
                  <c:v>156.70000000000002</c:v>
                </c:pt>
                <c:pt idx="3">
                  <c:v>244.7</c:v>
                </c:pt>
                <c:pt idx="4">
                  <c:v>278</c:v>
                </c:pt>
                <c:pt idx="5">
                  <c:v>390.4</c:v>
                </c:pt>
                <c:pt idx="6">
                  <c:v>386.09999999999997</c:v>
                </c:pt>
                <c:pt idx="7">
                  <c:v>478.5</c:v>
                </c:pt>
                <c:pt idx="8">
                  <c:v>370</c:v>
                </c:pt>
                <c:pt idx="9">
                  <c:v>371</c:v>
                </c:pt>
              </c:numCache>
            </c:numRef>
          </c:val>
          <c:extLst>
            <c:ext xmlns:c16="http://schemas.microsoft.com/office/drawing/2014/chart" uri="{C3380CC4-5D6E-409C-BE32-E72D297353CC}">
              <c16:uniqueId val="{00000000-0496-4796-84D0-122E14E2405A}"/>
            </c:ext>
          </c:extLst>
        </c:ser>
        <c:ser>
          <c:idx val="0"/>
          <c:order val="1"/>
          <c:tx>
            <c:v>Onshore other</c:v>
          </c:tx>
          <c:spPr>
            <a:solidFill>
              <a:schemeClr val="accent6">
                <a:shade val="53000"/>
              </a:schemeClr>
            </a:solidFill>
            <a:ln>
              <a:noFill/>
            </a:ln>
            <a:effectLst/>
          </c:spPr>
          <c:invertIfNegative val="0"/>
          <c:cat>
            <c:numRef>
              <c:f>'Pet. Expl. By Location'!$N$8:$N$17</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'Pet. Expl. By Location'!$P$8:$P$17</c:f>
              <c:numCache>
                <c:formatCode>#,##0_ ;\-#,##0\ </c:formatCode>
                <c:ptCount val="10"/>
                <c:pt idx="0">
                  <c:v>662.90000000000009</c:v>
                </c:pt>
                <c:pt idx="1">
                  <c:v>382.3</c:v>
                </c:pt>
                <c:pt idx="2">
                  <c:v>164.5</c:v>
                </c:pt>
                <c:pt idx="3">
                  <c:v>187.5</c:v>
                </c:pt>
                <c:pt idx="4">
                  <c:v>115.6</c:v>
                </c:pt>
                <c:pt idx="5">
                  <c:v>188.7</c:v>
                </c:pt>
                <c:pt idx="6">
                  <c:v>218.1</c:v>
                </c:pt>
                <c:pt idx="7">
                  <c:v>245.40000000000003</c:v>
                </c:pt>
                <c:pt idx="8">
                  <c:v>228</c:v>
                </c:pt>
                <c:pt idx="9">
                  <c:v>286.8</c:v>
                </c:pt>
              </c:numCache>
            </c:numRef>
          </c:val>
          <c:extLst>
            <c:ext xmlns:c16="http://schemas.microsoft.com/office/drawing/2014/chart" uri="{C3380CC4-5D6E-409C-BE32-E72D297353CC}">
              <c16:uniqueId val="{00000001-0496-4796-84D0-122E14E2405A}"/>
            </c:ext>
          </c:extLst>
        </c:ser>
        <c:ser>
          <c:idx val="2"/>
          <c:order val="2"/>
          <c:tx>
            <c:v>Offshore drilling</c:v>
          </c:tx>
          <c:spPr>
            <a:solidFill>
              <a:schemeClr val="accent6"/>
            </a:solidFill>
            <a:ln>
              <a:noFill/>
            </a:ln>
            <a:effectLst/>
          </c:spPr>
          <c:invertIfNegative val="0"/>
          <c:cat>
            <c:numRef>
              <c:f>'Pet. Expl. By Location'!$N$8:$N$17</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'Pet. Expl. By Location'!$R$8:$R$17</c:f>
              <c:numCache>
                <c:formatCode>#,##0_ ;\-#,##0\ </c:formatCode>
                <c:ptCount val="10"/>
                <c:pt idx="0">
                  <c:v>2618.1</c:v>
                </c:pt>
                <c:pt idx="1">
                  <c:v>1264.8999999999999</c:v>
                </c:pt>
                <c:pt idx="2">
                  <c:v>696</c:v>
                </c:pt>
                <c:pt idx="3">
                  <c:v>421.7</c:v>
                </c:pt>
                <c:pt idx="4">
                  <c:v>374.1</c:v>
                </c:pt>
                <c:pt idx="5">
                  <c:v>386.5</c:v>
                </c:pt>
                <c:pt idx="6">
                  <c:v>82.5</c:v>
                </c:pt>
                <c:pt idx="7">
                  <c:v>114.9</c:v>
                </c:pt>
                <c:pt idx="8">
                  <c:v>171.00000000000003</c:v>
                </c:pt>
                <c:pt idx="9">
                  <c:v>164.5</c:v>
                </c:pt>
              </c:numCache>
            </c:numRef>
          </c:val>
          <c:extLst>
            <c:ext xmlns:c16="http://schemas.microsoft.com/office/drawing/2014/chart" uri="{C3380CC4-5D6E-409C-BE32-E72D297353CC}">
              <c16:uniqueId val="{00000002-0496-4796-84D0-122E14E2405A}"/>
            </c:ext>
          </c:extLst>
        </c:ser>
        <c:ser>
          <c:idx val="1"/>
          <c:order val="3"/>
          <c:tx>
            <c:v>Offshore other</c:v>
          </c:tx>
          <c:spPr>
            <a:solidFill>
              <a:schemeClr val="accent6">
                <a:shade val="76000"/>
              </a:schemeClr>
            </a:solidFill>
            <a:ln>
              <a:noFill/>
            </a:ln>
            <a:effectLst/>
          </c:spPr>
          <c:invertIfNegative val="0"/>
          <c:cat>
            <c:numRef>
              <c:f>'Pet. Expl. By Location'!$N$8:$N$17</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'Pet. Expl. By Location'!$S$8:$S$17</c:f>
              <c:numCache>
                <c:formatCode>#,##0_ ;\-#,##0\ </c:formatCode>
                <c:ptCount val="10"/>
                <c:pt idx="0">
                  <c:v>694.8</c:v>
                </c:pt>
                <c:pt idx="1">
                  <c:v>574.9</c:v>
                </c:pt>
                <c:pt idx="2">
                  <c:v>386.5</c:v>
                </c:pt>
                <c:pt idx="3">
                  <c:v>366.5</c:v>
                </c:pt>
                <c:pt idx="4">
                  <c:v>372</c:v>
                </c:pt>
                <c:pt idx="5">
                  <c:v>398.1</c:v>
                </c:pt>
                <c:pt idx="6">
                  <c:v>312.90000000000003</c:v>
                </c:pt>
                <c:pt idx="7">
                  <c:v>283.7</c:v>
                </c:pt>
                <c:pt idx="8">
                  <c:v>215.4</c:v>
                </c:pt>
                <c:pt idx="9">
                  <c:v>236.8</c:v>
                </c:pt>
              </c:numCache>
            </c:numRef>
          </c:val>
          <c:extLst>
            <c:ext xmlns:c16="http://schemas.microsoft.com/office/drawing/2014/chart" uri="{C3380CC4-5D6E-409C-BE32-E72D297353CC}">
              <c16:uniqueId val="{00000003-0496-4796-84D0-122E14E2405A}"/>
            </c:ext>
          </c:extLst>
        </c:ser>
        <c:dLbls>
          <c:showLegendKey val="0"/>
          <c:showVal val="0"/>
          <c:showCatName val="0"/>
          <c:showSerName val="0"/>
          <c:showPercent val="0"/>
          <c:showBubbleSize val="0"/>
        </c:dLbls>
        <c:gapWidth val="150"/>
        <c:overlap val="100"/>
        <c:axId val="430611072"/>
        <c:axId val="430617344"/>
      </c:barChart>
      <c:lineChart>
        <c:grouping val="standard"/>
        <c:varyColors val="0"/>
        <c:ser>
          <c:idx val="4"/>
          <c:order val="4"/>
          <c:tx>
            <c:strRef>
              <c:f>'Pet. Expl. By Location'!$U$7</c:f>
              <c:strCache>
                <c:ptCount val="1"/>
                <c:pt idx="0">
                  <c:v>Onshore Share of Australia </c:v>
                </c:pt>
              </c:strCache>
            </c:strRef>
          </c:tx>
          <c:spPr>
            <a:ln w="28575" cap="rnd" cmpd="sng" algn="ctr">
              <a:solidFill>
                <a:schemeClr val="accent6">
                  <a:tint val="54000"/>
                  <a:shade val="95000"/>
                  <a:satMod val="105000"/>
                </a:schemeClr>
              </a:solidFill>
              <a:prstDash val="solid"/>
              <a:round/>
            </a:ln>
            <a:effectLst/>
          </c:spPr>
          <c:marker>
            <c:symbol val="none"/>
          </c:marker>
          <c:cat>
            <c:numRef>
              <c:f>'Pet. Expl. By Location'!$N$8:$N$17</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'Pet. Expl. By Location'!$U$8:$U$17</c:f>
              <c:numCache>
                <c:formatCode>0%</c:formatCode>
                <c:ptCount val="10"/>
                <c:pt idx="0">
                  <c:v>0.30111179089048756</c:v>
                </c:pt>
                <c:pt idx="1">
                  <c:v>0.32940876284901949</c:v>
                </c:pt>
                <c:pt idx="2">
                  <c:v>0.22887875765778604</c:v>
                </c:pt>
                <c:pt idx="3">
                  <c:v>0.35406424123238284</c:v>
                </c:pt>
                <c:pt idx="4">
                  <c:v>0.34538117378717431</c:v>
                </c:pt>
                <c:pt idx="5">
                  <c:v>0.42469570318228478</c:v>
                </c:pt>
                <c:pt idx="6">
                  <c:v>0.60444177671068433</c:v>
                </c:pt>
                <c:pt idx="7">
                  <c:v>0.64501470195134991</c:v>
                </c:pt>
                <c:pt idx="8">
                  <c:v>0.60735323989437329</c:v>
                </c:pt>
                <c:pt idx="9">
                  <c:v>0.62115203021718601</c:v>
                </c:pt>
              </c:numCache>
            </c:numRef>
          </c:val>
          <c:smooth val="0"/>
          <c:extLst>
            <c:ext xmlns:c16="http://schemas.microsoft.com/office/drawing/2014/chart" uri="{C3380CC4-5D6E-409C-BE32-E72D297353CC}">
              <c16:uniqueId val="{00000004-0496-4796-84D0-122E14E2405A}"/>
            </c:ext>
          </c:extLst>
        </c:ser>
        <c:dLbls>
          <c:showLegendKey val="0"/>
          <c:showVal val="0"/>
          <c:showCatName val="0"/>
          <c:showSerName val="0"/>
          <c:showPercent val="0"/>
          <c:showBubbleSize val="0"/>
        </c:dLbls>
        <c:marker val="1"/>
        <c:smooth val="0"/>
        <c:axId val="1219047664"/>
        <c:axId val="1219046680"/>
      </c:lineChart>
      <c:catAx>
        <c:axId val="430611072"/>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r>
                  <a:rPr lang="en-AU" sz="900"/>
                  <a:t>Source: ABS</a:t>
                </a:r>
              </a:p>
            </c:rich>
          </c:tx>
          <c:layout>
            <c:manualLayout>
              <c:xMode val="edge"/>
              <c:yMode val="edge"/>
              <c:x val="3.4937258287411313E-3"/>
              <c:y val="0.95558001074385879"/>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chemeClr val="tx1"/>
                </a:solidFill>
                <a:latin typeface="+mn-lt"/>
                <a:ea typeface="+mn-ea"/>
                <a:cs typeface="+mn-cs"/>
              </a:defRPr>
            </a:pPr>
            <a:endParaRPr lang="en-US"/>
          </a:p>
        </c:txPr>
        <c:crossAx val="430617344"/>
        <c:crosses val="autoZero"/>
        <c:auto val="1"/>
        <c:lblAlgn val="ctr"/>
        <c:lblOffset val="100"/>
        <c:noMultiLvlLbl val="0"/>
      </c:catAx>
      <c:valAx>
        <c:axId val="430617344"/>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AU"/>
                  <a:t>$ Million</a:t>
                </a:r>
              </a:p>
            </c:rich>
          </c:tx>
          <c:layout>
            <c:manualLayout>
              <c:xMode val="edge"/>
              <c:yMode val="edge"/>
              <c:x val="1.7997131353689154E-2"/>
              <c:y val="0.4517103262594353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_ ;\-#,##0\ "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30611072"/>
        <c:crosses val="autoZero"/>
        <c:crossBetween val="between"/>
        <c:majorUnit val="1000"/>
      </c:valAx>
      <c:valAx>
        <c:axId val="1219046680"/>
        <c:scaling>
          <c:orientation val="minMax"/>
          <c:max val="1"/>
        </c:scaling>
        <c:delete val="0"/>
        <c:axPos val="r"/>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219047664"/>
        <c:crosses val="max"/>
        <c:crossBetween val="between"/>
        <c:majorUnit val="0.2"/>
      </c:valAx>
      <c:catAx>
        <c:axId val="1219047664"/>
        <c:scaling>
          <c:orientation val="minMax"/>
        </c:scaling>
        <c:delete val="1"/>
        <c:axPos val="b"/>
        <c:numFmt formatCode="General" sourceLinked="1"/>
        <c:majorTickMark val="out"/>
        <c:minorTickMark val="none"/>
        <c:tickLblPos val="nextTo"/>
        <c:crossAx val="1219046680"/>
        <c:crosses val="autoZero"/>
        <c:auto val="1"/>
        <c:lblAlgn val="ctr"/>
        <c:lblOffset val="100"/>
        <c:noMultiLvlLbl val="0"/>
      </c:catAx>
      <c:spPr>
        <a:solidFill>
          <a:schemeClr val="bg1"/>
        </a:solidFill>
        <a:ln>
          <a:noFill/>
        </a:ln>
        <a:effectLst/>
      </c:spPr>
    </c:plotArea>
    <c:legend>
      <c:legendPos val="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868686"/>
      </a:solidFill>
      <a:prstDash val="solid"/>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strRef>
          <c:f>'Royalties 2-years'!$U$7</c:f>
          <c:strCache>
            <c:ptCount val="1"/>
            <c:pt idx="0">
              <c:v>Royalty Receipts And North West Shelf Grants 
2023-24</c:v>
            </c:pt>
          </c:strCache>
        </c:strRef>
      </c:tx>
      <c:layout>
        <c:manualLayout>
          <c:xMode val="edge"/>
          <c:yMode val="edge"/>
          <c:x val="0.28270632837561971"/>
          <c:y val="2.7777687582866573E-2"/>
        </c:manualLayout>
      </c:layout>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mn-lt"/>
              <a:ea typeface="+mn-ea"/>
              <a:cs typeface="+mn-cs"/>
            </a:defRPr>
          </a:pPr>
          <a:endParaRPr lang="en-US"/>
        </a:p>
      </c:txPr>
    </c:title>
    <c:autoTitleDeleted val="0"/>
    <c:plotArea>
      <c:layout/>
      <c:ofPieChart>
        <c:ofPieType val="pie"/>
        <c:varyColors val="1"/>
        <c:ser>
          <c:idx val="0"/>
          <c:order val="0"/>
          <c:dPt>
            <c:idx val="0"/>
            <c:bubble3D val="0"/>
            <c:spPr>
              <a:solidFill>
                <a:schemeClr val="accent3">
                  <a:shade val="41000"/>
                </a:schemeClr>
              </a:solidFill>
              <a:ln w="19050">
                <a:solidFill>
                  <a:schemeClr val="lt1"/>
                </a:solidFill>
              </a:ln>
              <a:effectLst/>
            </c:spPr>
            <c:extLst>
              <c:ext xmlns:c16="http://schemas.microsoft.com/office/drawing/2014/chart" uri="{C3380CC4-5D6E-409C-BE32-E72D297353CC}">
                <c16:uniqueId val="{00000001-A0D8-4AC4-A4A5-71934D821ADE}"/>
              </c:ext>
            </c:extLst>
          </c:dPt>
          <c:dPt>
            <c:idx val="1"/>
            <c:bubble3D val="0"/>
            <c:spPr>
              <a:solidFill>
                <a:schemeClr val="accent3">
                  <a:shade val="53000"/>
                </a:schemeClr>
              </a:solidFill>
              <a:ln w="19050">
                <a:solidFill>
                  <a:schemeClr val="lt1"/>
                </a:solidFill>
              </a:ln>
              <a:effectLst/>
            </c:spPr>
            <c:extLst>
              <c:ext xmlns:c16="http://schemas.microsoft.com/office/drawing/2014/chart" uri="{C3380CC4-5D6E-409C-BE32-E72D297353CC}">
                <c16:uniqueId val="{00000003-A0D8-4AC4-A4A5-71934D821ADE}"/>
              </c:ext>
            </c:extLst>
          </c:dPt>
          <c:dPt>
            <c:idx val="2"/>
            <c:bubble3D val="0"/>
            <c:spPr>
              <a:solidFill>
                <a:schemeClr val="accent3">
                  <a:shade val="76000"/>
                </a:schemeClr>
              </a:solidFill>
              <a:ln w="19050">
                <a:solidFill>
                  <a:schemeClr val="lt1"/>
                </a:solidFill>
              </a:ln>
              <a:effectLst/>
            </c:spPr>
            <c:extLst>
              <c:ext xmlns:c16="http://schemas.microsoft.com/office/drawing/2014/chart" uri="{C3380CC4-5D6E-409C-BE32-E72D297353CC}">
                <c16:uniqueId val="{00000005-A0D8-4AC4-A4A5-71934D821ADE}"/>
              </c:ext>
            </c:extLst>
          </c:dPt>
          <c:dPt>
            <c:idx val="3"/>
            <c:bubble3D val="0"/>
            <c:spPr>
              <a:solidFill>
                <a:schemeClr val="accent3">
                  <a:shade val="88000"/>
                </a:schemeClr>
              </a:solidFill>
              <a:ln w="19050">
                <a:solidFill>
                  <a:schemeClr val="lt1"/>
                </a:solidFill>
              </a:ln>
              <a:effectLst/>
            </c:spPr>
            <c:extLst>
              <c:ext xmlns:c16="http://schemas.microsoft.com/office/drawing/2014/chart" uri="{C3380CC4-5D6E-409C-BE32-E72D297353CC}">
                <c16:uniqueId val="{00000007-A0D8-4AC4-A4A5-71934D821ADE}"/>
              </c:ext>
            </c:extLst>
          </c:dPt>
          <c:dPt>
            <c:idx val="4"/>
            <c:bubble3D val="0"/>
            <c:spPr>
              <a:solidFill>
                <a:schemeClr val="accent3"/>
              </a:solidFill>
              <a:ln w="19050">
                <a:solidFill>
                  <a:schemeClr val="lt1"/>
                </a:solidFill>
              </a:ln>
              <a:effectLst/>
            </c:spPr>
            <c:extLst>
              <c:ext xmlns:c16="http://schemas.microsoft.com/office/drawing/2014/chart" uri="{C3380CC4-5D6E-409C-BE32-E72D297353CC}">
                <c16:uniqueId val="{00000009-A0D8-4AC4-A4A5-71934D821ADE}"/>
              </c:ext>
            </c:extLst>
          </c:dPt>
          <c:dPt>
            <c:idx val="5"/>
            <c:bubble3D val="0"/>
            <c:spPr>
              <a:solidFill>
                <a:schemeClr val="accent3">
                  <a:tint val="89000"/>
                </a:schemeClr>
              </a:solidFill>
              <a:ln w="19050">
                <a:solidFill>
                  <a:schemeClr val="lt1"/>
                </a:solidFill>
              </a:ln>
              <a:effectLst/>
            </c:spPr>
            <c:extLst>
              <c:ext xmlns:c16="http://schemas.microsoft.com/office/drawing/2014/chart" uri="{C3380CC4-5D6E-409C-BE32-E72D297353CC}">
                <c16:uniqueId val="{0000000B-A0D8-4AC4-A4A5-71934D821ADE}"/>
              </c:ext>
            </c:extLst>
          </c:dPt>
          <c:dPt>
            <c:idx val="6"/>
            <c:bubble3D val="0"/>
            <c:spPr>
              <a:solidFill>
                <a:schemeClr val="accent3">
                  <a:tint val="77000"/>
                </a:schemeClr>
              </a:solidFill>
              <a:ln w="19050">
                <a:solidFill>
                  <a:schemeClr val="lt1"/>
                </a:solidFill>
              </a:ln>
              <a:effectLst/>
            </c:spPr>
            <c:extLst>
              <c:ext xmlns:c16="http://schemas.microsoft.com/office/drawing/2014/chart" uri="{C3380CC4-5D6E-409C-BE32-E72D297353CC}">
                <c16:uniqueId val="{0000000D-A0D8-4AC4-A4A5-71934D821ADE}"/>
              </c:ext>
            </c:extLst>
          </c:dPt>
          <c:dPt>
            <c:idx val="7"/>
            <c:bubble3D val="0"/>
            <c:spPr>
              <a:solidFill>
                <a:schemeClr val="accent3">
                  <a:tint val="65000"/>
                </a:schemeClr>
              </a:solidFill>
              <a:ln w="19050">
                <a:solidFill>
                  <a:schemeClr val="lt1"/>
                </a:solidFill>
              </a:ln>
              <a:effectLst/>
            </c:spPr>
            <c:extLst>
              <c:ext xmlns:c16="http://schemas.microsoft.com/office/drawing/2014/chart" uri="{C3380CC4-5D6E-409C-BE32-E72D297353CC}">
                <c16:uniqueId val="{0000000F-A0D8-4AC4-A4A5-71934D821ADE}"/>
              </c:ext>
            </c:extLst>
          </c:dPt>
          <c:dPt>
            <c:idx val="8"/>
            <c:bubble3D val="0"/>
            <c:spPr>
              <a:solidFill>
                <a:schemeClr val="accent3">
                  <a:tint val="54000"/>
                </a:schemeClr>
              </a:solidFill>
              <a:ln w="19050">
                <a:solidFill>
                  <a:schemeClr val="lt1"/>
                </a:solidFill>
              </a:ln>
              <a:effectLst/>
            </c:spPr>
            <c:extLst>
              <c:ext xmlns:c16="http://schemas.microsoft.com/office/drawing/2014/chart" uri="{C3380CC4-5D6E-409C-BE32-E72D297353CC}">
                <c16:uniqueId val="{00000011-A0D8-4AC4-A4A5-71934D821ADE}"/>
              </c:ext>
            </c:extLst>
          </c:dPt>
          <c:dPt>
            <c:idx val="9"/>
            <c:bubble3D val="0"/>
            <c:spPr>
              <a:solidFill>
                <a:schemeClr val="accent3">
                  <a:tint val="42000"/>
                </a:schemeClr>
              </a:solidFill>
              <a:ln w="19050">
                <a:solidFill>
                  <a:schemeClr val="lt1"/>
                </a:solidFill>
              </a:ln>
              <a:effectLst/>
            </c:spPr>
            <c:extLst>
              <c:ext xmlns:c16="http://schemas.microsoft.com/office/drawing/2014/chart" uri="{C3380CC4-5D6E-409C-BE32-E72D297353CC}">
                <c16:uniqueId val="{00000013-A0D8-4AC4-A4A5-71934D821ADE}"/>
              </c:ext>
            </c:extLst>
          </c:dPt>
          <c:dPt>
            <c:idx val="10"/>
            <c:bubble3D val="0"/>
            <c:spPr>
              <a:solidFill>
                <a:schemeClr val="accent3">
                  <a:tint val="30000"/>
                </a:schemeClr>
              </a:solidFill>
              <a:ln w="19050">
                <a:solidFill>
                  <a:schemeClr val="lt1"/>
                </a:solidFill>
              </a:ln>
              <a:effectLst/>
            </c:spPr>
            <c:extLst>
              <c:ext xmlns:c16="http://schemas.microsoft.com/office/drawing/2014/chart" uri="{C3380CC4-5D6E-409C-BE32-E72D297353CC}">
                <c16:uniqueId val="{00000015-A0D8-4AC4-A4A5-71934D821ADE}"/>
              </c:ext>
            </c:extLst>
          </c:dPt>
          <c:dLbls>
            <c:dLbl>
              <c:idx val="0"/>
              <c:layout>
                <c:manualLayout>
                  <c:x val="6.6939756476477536E-3"/>
                  <c:y val="2.7749775222733835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0D8-4AC4-A4A5-71934D821ADE}"/>
                </c:ext>
              </c:extLst>
            </c:dLbl>
            <c:dLbl>
              <c:idx val="1"/>
              <c:layout>
                <c:manualLayout>
                  <c:x val="6.886019306608597E-2"/>
                  <c:y val="5.476881998746684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0D8-4AC4-A4A5-71934D821ADE}"/>
                </c:ext>
              </c:extLst>
            </c:dLbl>
            <c:dLbl>
              <c:idx val="2"/>
              <c:layout>
                <c:manualLayout>
                  <c:x val="-9.3938068347517172E-4"/>
                  <c:y val="5.372541061233325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0D8-4AC4-A4A5-71934D821ADE}"/>
                </c:ext>
              </c:extLst>
            </c:dLbl>
            <c:dLbl>
              <c:idx val="3"/>
              <c:layout>
                <c:manualLayout>
                  <c:x val="-4.3682861733345723E-3"/>
                  <c:y val="-0.11620058305860556"/>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0D8-4AC4-A4A5-71934D821ADE}"/>
                </c:ext>
              </c:extLst>
            </c:dLbl>
            <c:dLbl>
              <c:idx val="4"/>
              <c:layout>
                <c:manualLayout>
                  <c:x val="-1.1572147495053905E-2"/>
                  <c:y val="-5.044546767294226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0D8-4AC4-A4A5-71934D821ADE}"/>
                </c:ext>
              </c:extLst>
            </c:dLbl>
            <c:dLbl>
              <c:idx val="7"/>
              <c:layout>
                <c:manualLayout>
                  <c:x val="2.6142549872959171E-2"/>
                  <c:y val="-3.997738461326309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A0D8-4AC4-A4A5-71934D821ADE}"/>
                </c:ext>
              </c:extLst>
            </c:dLbl>
            <c:dLbl>
              <c:idx val="9"/>
              <c:layout>
                <c:manualLayout>
                  <c:x val="-1.5809111550769472E-2"/>
                  <c:y val="1.800997193689883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A0D8-4AC4-A4A5-71934D821ADE}"/>
                </c:ext>
              </c:extLst>
            </c:dLbl>
            <c:dLbl>
              <c:idx val="10"/>
              <c:layout>
                <c:manualLayout>
                  <c:x val="7.3735880858343183E-3"/>
                  <c:y val="-3.1496062992119564E-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A0D8-4AC4-A4A5-71934D821ADE}"/>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'Royalties 2-years'!$A$9:$A$19</c15:sqref>
                  </c15:fullRef>
                </c:ext>
              </c:extLst>
              <c:f>('Royalties 2-years'!$A$9:$A$10,'Royalties 2-years'!$A$12:$A$19)</c:f>
              <c:strCache>
                <c:ptCount val="10"/>
                <c:pt idx="0">
                  <c:v>Alumina</c:v>
                </c:pt>
                <c:pt idx="1">
                  <c:v>Copper, Lead &amp; Zinc</c:v>
                </c:pt>
                <c:pt idx="2">
                  <c:v>Gold</c:v>
                </c:pt>
                <c:pt idx="3">
                  <c:v>Iron Ore</c:v>
                </c:pt>
                <c:pt idx="4">
                  <c:v>Lithium</c:v>
                </c:pt>
                <c:pt idx="5">
                  <c:v>Mineral sands</c:v>
                </c:pt>
                <c:pt idx="6">
                  <c:v>Nickel</c:v>
                </c:pt>
                <c:pt idx="7">
                  <c:v>Other Minerals</c:v>
                </c:pt>
                <c:pt idx="8">
                  <c:v>Petroleum</c:v>
                </c:pt>
                <c:pt idx="9">
                  <c:v>North West Shelf Grants</c:v>
                </c:pt>
              </c:strCache>
            </c:strRef>
          </c:cat>
          <c:val>
            <c:numRef>
              <c:extLst>
                <c:ext xmlns:c15="http://schemas.microsoft.com/office/drawing/2012/chart" uri="{02D57815-91ED-43cb-92C2-25804820EDAC}">
                  <c15:fullRef>
                    <c15:sqref>'Royalties 2-years'!$C$9:$C$19</c15:sqref>
                  </c15:fullRef>
                </c:ext>
              </c:extLst>
              <c:f>('Royalties 2-years'!$C$9:$C$10,'Royalties 2-years'!$C$12:$C$19)</c:f>
              <c:numCache>
                <c:formatCode>#,##0.00</c:formatCode>
                <c:ptCount val="10"/>
                <c:pt idx="0">
                  <c:v>109.12560028000001</c:v>
                </c:pt>
                <c:pt idx="1">
                  <c:v>51.985805689999999</c:v>
                </c:pt>
                <c:pt idx="2">
                  <c:v>496.75666791999981</c:v>
                </c:pt>
                <c:pt idx="3">
                  <c:v>10372.32968635</c:v>
                </c:pt>
                <c:pt idx="4">
                  <c:v>710.17382730000008</c:v>
                </c:pt>
                <c:pt idx="5">
                  <c:v>43.224860360000001</c:v>
                </c:pt>
                <c:pt idx="6">
                  <c:v>98.503548449999997</c:v>
                </c:pt>
                <c:pt idx="7">
                  <c:v>101.26134295000011</c:v>
                </c:pt>
                <c:pt idx="8">
                  <c:v>22.908999769999994</c:v>
                </c:pt>
                <c:pt idx="9">
                  <c:v>694.408815</c:v>
                </c:pt>
              </c:numCache>
            </c:numRef>
          </c:val>
          <c:extLst>
            <c:ext xmlns:c15="http://schemas.microsoft.com/office/drawing/2012/chart" uri="{02D57815-91ED-43cb-92C2-25804820EDAC}">
              <c15:categoryFilterExceptions>
                <c15:categoryFilterException>
                  <c15:sqref>'Royalties 2-years'!$C$11</c15:sqref>
                  <c15:spPr xmlns:c15="http://schemas.microsoft.com/office/drawing/2012/chart">
                    <a:solidFill>
                      <a:schemeClr val="accent3">
                        <a:shade val="65000"/>
                      </a:schemeClr>
                    </a:solidFill>
                    <a:ln w="19050">
                      <a:solidFill>
                        <a:schemeClr val="lt1"/>
                      </a:solidFill>
                    </a:ln>
                    <a:effectLst/>
                  </c15:spPr>
                  <c15:bubble3D val="0"/>
                  <c15:dLbl>
                    <c:idx val="1"/>
                    <c:layout>
                      <c:manualLayout>
                        <c:x val="-1.4941541398234373E-2"/>
                        <c:y val="5.7471385664420817E-2"/>
                      </c:manualLayout>
                    </c:layout>
                    <c:showLegendKey val="0"/>
                    <c:showVal val="0"/>
                    <c:showCatName val="1"/>
                    <c:showSerName val="0"/>
                    <c:showPercent val="1"/>
                    <c:showBubbleSize val="0"/>
                    <c:extLst>
                      <c:ext uri="{CE6537A1-D6FC-4f65-9D91-7224C49458BB}"/>
                      <c:ext xmlns:c16="http://schemas.microsoft.com/office/drawing/2014/chart" uri="{C3380CC4-5D6E-409C-BE32-E72D297353CC}">
                        <c16:uniqueId val="{00000017-C47D-443F-AF43-817072556EDA}"/>
                      </c:ext>
                    </c:extLst>
                  </c15:dLbl>
                </c15:categoryFilterException>
              </c15:categoryFilterExceptions>
            </c:ext>
            <c:ext xmlns:c16="http://schemas.microsoft.com/office/drawing/2014/chart" uri="{C3380CC4-5D6E-409C-BE32-E72D297353CC}">
              <c16:uniqueId val="{00000016-A0D8-4AC4-A4A5-71934D821ADE}"/>
            </c:ext>
          </c:extLst>
        </c:ser>
        <c:dLbls>
          <c:showLegendKey val="0"/>
          <c:showVal val="0"/>
          <c:showCatName val="0"/>
          <c:showSerName val="0"/>
          <c:showPercent val="0"/>
          <c:showBubbleSize val="0"/>
          <c:showLeaderLines val="1"/>
        </c:dLbls>
        <c:gapWidth val="100"/>
        <c:splitType val="percent"/>
        <c:splitPos val="2"/>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gap"/>
    <c:showDLblsOverMax val="0"/>
  </c:chart>
  <c:spPr>
    <a:solidFill>
      <a:schemeClr val="bg1"/>
    </a:solidFill>
    <a:ln w="9525" cap="flat" cmpd="sng" algn="ctr">
      <a:solidFill>
        <a:srgbClr val="868686"/>
      </a:solidFill>
      <a:round/>
    </a:ln>
    <a:effectLst/>
  </c:spPr>
  <c:txPr>
    <a:bodyPr/>
    <a:lstStyle/>
    <a:p>
      <a:pPr>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strRef>
          <c:f>'Royalties 2-years'!$T$7</c:f>
          <c:strCache>
            <c:ptCount val="1"/>
            <c:pt idx="0">
              <c:v>Revenue Growth 
2022-23 to 2023-24</c:v>
            </c:pt>
          </c:strCache>
        </c:strRef>
      </c:tx>
      <c:overlay val="0"/>
      <c:txPr>
        <a:bodyPr/>
        <a:lstStyle/>
        <a:p>
          <a:pPr>
            <a:defRPr/>
          </a:pPr>
          <a:endParaRPr lang="en-US"/>
        </a:p>
      </c:txPr>
    </c:title>
    <c:autoTitleDeleted val="0"/>
    <c:plotArea>
      <c:layout>
        <c:manualLayout>
          <c:layoutTarget val="inner"/>
          <c:xMode val="edge"/>
          <c:yMode val="edge"/>
          <c:x val="7.3153097218982971E-2"/>
          <c:y val="0.16415626067504061"/>
          <c:w val="0.9086731412558976"/>
          <c:h val="0.55752127489925096"/>
        </c:manualLayout>
      </c:layout>
      <c:barChart>
        <c:barDir val="col"/>
        <c:grouping val="clustered"/>
        <c:varyColors val="0"/>
        <c:ser>
          <c:idx val="0"/>
          <c:order val="0"/>
          <c:tx>
            <c:strRef>
              <c:f>'Royalties 2-years'!$E$8</c:f>
              <c:strCache>
                <c:ptCount val="1"/>
                <c:pt idx="0">
                  <c:v>%</c:v>
                </c:pt>
              </c:strCache>
            </c:strRef>
          </c:tx>
          <c:invertIfNegative val="0"/>
          <c:dPt>
            <c:idx val="8"/>
            <c:invertIfNegative val="0"/>
            <c:bubble3D val="0"/>
            <c:spPr>
              <a:solidFill>
                <a:schemeClr val="accent3">
                  <a:lumMod val="50000"/>
                </a:schemeClr>
              </a:solidFill>
            </c:spPr>
            <c:extLst>
              <c:ext xmlns:c16="http://schemas.microsoft.com/office/drawing/2014/chart" uri="{C3380CC4-5D6E-409C-BE32-E72D297353CC}">
                <c16:uniqueId val="{00000001-9415-444F-9F5B-2F19013FC7E0}"/>
              </c:ext>
            </c:extLst>
          </c:dPt>
          <c:dPt>
            <c:idx val="9"/>
            <c:invertIfNegative val="0"/>
            <c:bubble3D val="0"/>
            <c:spPr>
              <a:solidFill>
                <a:schemeClr val="accent3">
                  <a:lumMod val="50000"/>
                </a:schemeClr>
              </a:solidFill>
            </c:spPr>
            <c:extLst>
              <c:ext xmlns:c16="http://schemas.microsoft.com/office/drawing/2014/chart" uri="{C3380CC4-5D6E-409C-BE32-E72D297353CC}">
                <c16:uniqueId val="{00000003-9415-444F-9F5B-2F19013FC7E0}"/>
              </c:ext>
            </c:extLst>
          </c:dPt>
          <c:cat>
            <c:strRef>
              <c:extLst>
                <c:ext xmlns:c15="http://schemas.microsoft.com/office/drawing/2012/chart" uri="{02D57815-91ED-43cb-92C2-25804820EDAC}">
                  <c15:fullRef>
                    <c15:sqref>'Royalties 2-years'!$A$9:$A$21</c15:sqref>
                  </c15:fullRef>
                </c:ext>
              </c:extLst>
              <c:f>('Royalties 2-years'!$A$9:$A$10,'Royalties 2-years'!$A$12:$A$21)</c:f>
              <c:strCache>
                <c:ptCount val="12"/>
                <c:pt idx="0">
                  <c:v>Alumina</c:v>
                </c:pt>
                <c:pt idx="1">
                  <c:v>Copper, Lead &amp; Zinc</c:v>
                </c:pt>
                <c:pt idx="2">
                  <c:v>Gold</c:v>
                </c:pt>
                <c:pt idx="3">
                  <c:v>Iron Ore</c:v>
                </c:pt>
                <c:pt idx="4">
                  <c:v>Lithium</c:v>
                </c:pt>
                <c:pt idx="5">
                  <c:v>Mineral sands</c:v>
                </c:pt>
                <c:pt idx="6">
                  <c:v>Nickel</c:v>
                </c:pt>
                <c:pt idx="7">
                  <c:v>Other Minerals</c:v>
                </c:pt>
                <c:pt idx="8">
                  <c:v>Petroleum</c:v>
                </c:pt>
                <c:pt idx="9">
                  <c:v>North West Shelf Grants</c:v>
                </c:pt>
                <c:pt idx="10">
                  <c:v>Total Royalty Receipts</c:v>
                </c:pt>
                <c:pt idx="11">
                  <c:v>Total Revenue</c:v>
                </c:pt>
              </c:strCache>
            </c:strRef>
          </c:cat>
          <c:val>
            <c:numRef>
              <c:extLst>
                <c:ext xmlns:c15="http://schemas.microsoft.com/office/drawing/2012/chart" uri="{02D57815-91ED-43cb-92C2-25804820EDAC}">
                  <c15:fullRef>
                    <c15:sqref>'Royalties 2-years'!$E$9:$E$21</c15:sqref>
                  </c15:fullRef>
                </c:ext>
              </c:extLst>
              <c:f>('Royalties 2-years'!$E$9:$E$10,'Royalties 2-years'!$E$12:$E$21)</c:f>
              <c:numCache>
                <c:formatCode>0%</c:formatCode>
                <c:ptCount val="12"/>
                <c:pt idx="0">
                  <c:v>-3.9782103317948868E-2</c:v>
                </c:pt>
                <c:pt idx="1">
                  <c:v>-0.30515012150934279</c:v>
                </c:pt>
                <c:pt idx="2">
                  <c:v>0.13930124936614122</c:v>
                </c:pt>
                <c:pt idx="3">
                  <c:v>0.10424650142783923</c:v>
                </c:pt>
                <c:pt idx="4">
                  <c:v>-0.23626157684978907</c:v>
                </c:pt>
                <c:pt idx="5">
                  <c:v>-7.218239390847922E-2</c:v>
                </c:pt>
                <c:pt idx="6">
                  <c:v>-0.29484316634753566</c:v>
                </c:pt>
                <c:pt idx="7">
                  <c:v>0.28671006151254197</c:v>
                </c:pt>
                <c:pt idx="8">
                  <c:v>0.49873467872762556</c:v>
                </c:pt>
                <c:pt idx="9">
                  <c:v>-0.54565612279888798</c:v>
                </c:pt>
                <c:pt idx="10">
                  <c:v>6.9340202259749961E-2</c:v>
                </c:pt>
                <c:pt idx="11">
                  <c:v>-4.3457456731457724E-3</c:v>
                </c:pt>
              </c:numCache>
            </c:numRef>
          </c:val>
          <c:extLst>
            <c:ext xmlns:c16="http://schemas.microsoft.com/office/drawing/2014/chart" uri="{C3380CC4-5D6E-409C-BE32-E72D297353CC}">
              <c16:uniqueId val="{00000004-9415-444F-9F5B-2F19013FC7E0}"/>
            </c:ext>
          </c:extLst>
        </c:ser>
        <c:dLbls>
          <c:showLegendKey val="0"/>
          <c:showVal val="0"/>
          <c:showCatName val="0"/>
          <c:showSerName val="0"/>
          <c:showPercent val="0"/>
          <c:showBubbleSize val="0"/>
        </c:dLbls>
        <c:gapWidth val="150"/>
        <c:axId val="431276800"/>
        <c:axId val="431278336"/>
      </c:barChart>
      <c:catAx>
        <c:axId val="431276800"/>
        <c:scaling>
          <c:orientation val="minMax"/>
        </c:scaling>
        <c:delete val="0"/>
        <c:axPos val="b"/>
        <c:numFmt formatCode="General" sourceLinked="0"/>
        <c:majorTickMark val="none"/>
        <c:minorTickMark val="none"/>
        <c:tickLblPos val="low"/>
        <c:spPr>
          <a:ln/>
        </c:spPr>
        <c:crossAx val="431278336"/>
        <c:crosses val="autoZero"/>
        <c:auto val="1"/>
        <c:lblAlgn val="ctr"/>
        <c:lblOffset val="100"/>
        <c:noMultiLvlLbl val="0"/>
      </c:catAx>
      <c:valAx>
        <c:axId val="431278336"/>
        <c:scaling>
          <c:orientation val="minMax"/>
        </c:scaling>
        <c:delete val="0"/>
        <c:axPos val="l"/>
        <c:majorGridlines/>
        <c:numFmt formatCode="0%" sourceLinked="1"/>
        <c:majorTickMark val="none"/>
        <c:minorTickMark val="none"/>
        <c:tickLblPos val="nextTo"/>
        <c:crossAx val="431276800"/>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2"/>
    </mc:Choice>
    <mc:Fallback>
      <c:style val="12"/>
    </mc:Fallback>
  </mc:AlternateContent>
  <c:chart>
    <c:title>
      <c:tx>
        <c:rich>
          <a:bodyPr/>
          <a:lstStyle/>
          <a:p>
            <a:pPr>
              <a:defRPr/>
            </a:pPr>
            <a:r>
              <a:rPr lang="en-AU" sz="1600"/>
              <a:t>Mining</a:t>
            </a:r>
            <a:r>
              <a:rPr lang="en-AU" sz="1600" baseline="0"/>
              <a:t> </a:t>
            </a:r>
            <a:r>
              <a:rPr lang="en-AU" sz="1600"/>
              <a:t>FTEs</a:t>
            </a:r>
          </a:p>
          <a:p>
            <a:pPr>
              <a:defRPr/>
            </a:pPr>
            <a:r>
              <a:rPr lang="en-AU" sz="900"/>
              <a:t>By Commodity 2023</a:t>
            </a:r>
          </a:p>
        </c:rich>
      </c:tx>
      <c:layout>
        <c:manualLayout>
          <c:xMode val="edge"/>
          <c:yMode val="edge"/>
          <c:x val="0.41869328890363822"/>
          <c:y val="2.6291067064892749E-2"/>
        </c:manualLayout>
      </c:layout>
      <c:overlay val="0"/>
    </c:title>
    <c:autoTitleDeleted val="0"/>
    <c:plotArea>
      <c:layout>
        <c:manualLayout>
          <c:layoutTarget val="inner"/>
          <c:xMode val="edge"/>
          <c:yMode val="edge"/>
          <c:x val="0.33481303263018053"/>
          <c:y val="0.15293286127931796"/>
          <c:w val="0.54733694316329962"/>
          <c:h val="0.69561029976696198"/>
        </c:manualLayout>
      </c:layout>
      <c:pieChart>
        <c:varyColors val="1"/>
        <c:ser>
          <c:idx val="0"/>
          <c:order val="0"/>
          <c:dPt>
            <c:idx val="0"/>
            <c:bubble3D val="0"/>
            <c:extLst>
              <c:ext xmlns:c16="http://schemas.microsoft.com/office/drawing/2014/chart" uri="{C3380CC4-5D6E-409C-BE32-E72D297353CC}">
                <c16:uniqueId val="{00000000-14F5-4A2B-BD64-D09E19735476}"/>
              </c:ext>
            </c:extLst>
          </c:dPt>
          <c:dPt>
            <c:idx val="1"/>
            <c:bubble3D val="0"/>
            <c:extLst>
              <c:ext xmlns:c16="http://schemas.microsoft.com/office/drawing/2014/chart" uri="{C3380CC4-5D6E-409C-BE32-E72D297353CC}">
                <c16:uniqueId val="{00000001-14F5-4A2B-BD64-D09E19735476}"/>
              </c:ext>
            </c:extLst>
          </c:dPt>
          <c:dPt>
            <c:idx val="2"/>
            <c:bubble3D val="0"/>
            <c:extLst>
              <c:ext xmlns:c16="http://schemas.microsoft.com/office/drawing/2014/chart" uri="{C3380CC4-5D6E-409C-BE32-E72D297353CC}">
                <c16:uniqueId val="{00000002-14F5-4A2B-BD64-D09E19735476}"/>
              </c:ext>
            </c:extLst>
          </c:dPt>
          <c:dPt>
            <c:idx val="3"/>
            <c:bubble3D val="0"/>
            <c:extLst>
              <c:ext xmlns:c16="http://schemas.microsoft.com/office/drawing/2014/chart" uri="{C3380CC4-5D6E-409C-BE32-E72D297353CC}">
                <c16:uniqueId val="{00000003-14F5-4A2B-BD64-D09E19735476}"/>
              </c:ext>
            </c:extLst>
          </c:dPt>
          <c:dPt>
            <c:idx val="4"/>
            <c:bubble3D val="0"/>
            <c:extLst>
              <c:ext xmlns:c16="http://schemas.microsoft.com/office/drawing/2014/chart" uri="{C3380CC4-5D6E-409C-BE32-E72D297353CC}">
                <c16:uniqueId val="{00000004-14F5-4A2B-BD64-D09E19735476}"/>
              </c:ext>
            </c:extLst>
          </c:dPt>
          <c:dPt>
            <c:idx val="5"/>
            <c:bubble3D val="0"/>
            <c:extLst>
              <c:ext xmlns:c16="http://schemas.microsoft.com/office/drawing/2014/chart" uri="{C3380CC4-5D6E-409C-BE32-E72D297353CC}">
                <c16:uniqueId val="{00000005-14F5-4A2B-BD64-D09E19735476}"/>
              </c:ext>
            </c:extLst>
          </c:dPt>
          <c:dPt>
            <c:idx val="6"/>
            <c:bubble3D val="0"/>
            <c:extLst>
              <c:ext xmlns:c16="http://schemas.microsoft.com/office/drawing/2014/chart" uri="{C3380CC4-5D6E-409C-BE32-E72D297353CC}">
                <c16:uniqueId val="{00000006-14F5-4A2B-BD64-D09E19735476}"/>
              </c:ext>
            </c:extLst>
          </c:dPt>
          <c:dLbls>
            <c:dLbl>
              <c:idx val="0"/>
              <c:layout>
                <c:manualLayout>
                  <c:x val="-0.173581651350185"/>
                  <c:y val="4.479409901348527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14F5-4A2B-BD64-D09E19735476}"/>
                </c:ext>
              </c:extLst>
            </c:dLbl>
            <c:dLbl>
              <c:idx val="1"/>
              <c:layout>
                <c:manualLayout>
                  <c:x val="-0.17576826481595462"/>
                  <c:y val="3.536111865327178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4F5-4A2B-BD64-D09E19735476}"/>
                </c:ext>
              </c:extLst>
            </c:dLbl>
            <c:dLbl>
              <c:idx val="2"/>
              <c:layout>
                <c:manualLayout>
                  <c:x val="-0.11664254232371897"/>
                  <c:y val="-3.788646031315061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14F5-4A2B-BD64-D09E19735476}"/>
                </c:ext>
              </c:extLst>
            </c:dLbl>
            <c:dLbl>
              <c:idx val="3"/>
              <c:layout>
                <c:manualLayout>
                  <c:x val="-0.16604711448106024"/>
                  <c:y val="-9.715800266981375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4F5-4A2B-BD64-D09E19735476}"/>
                </c:ext>
              </c:extLst>
            </c:dLbl>
            <c:dLbl>
              <c:idx val="4"/>
              <c:layout>
                <c:manualLayout>
                  <c:x val="-7.4723058718181606E-2"/>
                  <c:y val="-0.1529886510665040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14F5-4A2B-BD64-D09E19735476}"/>
                </c:ext>
              </c:extLst>
            </c:dLbl>
            <c:dLbl>
              <c:idx val="5"/>
              <c:layout>
                <c:manualLayout>
                  <c:x val="0.12627709761235908"/>
                  <c:y val="0.13432020087530366"/>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4F5-4A2B-BD64-D09E19735476}"/>
                </c:ext>
              </c:extLst>
            </c:dLbl>
            <c:dLbl>
              <c:idx val="6"/>
              <c:layout>
                <c:manualLayout>
                  <c:x val="-0.14820908351368373"/>
                  <c:y val="7.577988869327452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14F5-4A2B-BD64-D09E19735476}"/>
                </c:ext>
              </c:extLst>
            </c:dLbl>
            <c:dLbl>
              <c:idx val="7"/>
              <c:layout>
                <c:manualLayout>
                  <c:x val="0.11095231020650714"/>
                  <c:y val="4.678658702144979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4F5-4A2B-BD64-D09E19735476}"/>
                </c:ext>
              </c:extLst>
            </c:dLbl>
            <c:dLbl>
              <c:idx val="8"/>
              <c:layout>
                <c:manualLayout>
                  <c:x val="-1.0675835331904266E-2"/>
                  <c:y val="5.368449633450980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14F5-4A2B-BD64-D09E19735476}"/>
                </c:ext>
              </c:extLst>
            </c:dLbl>
            <c:dLbl>
              <c:idx val="9"/>
              <c:layout>
                <c:manualLayout>
                  <c:x val="-2.6642896053087704E-2"/>
                  <c:y val="1.163589465109964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14F5-4A2B-BD64-D09E19735476}"/>
                </c:ext>
              </c:extLst>
            </c:dLbl>
            <c:dLbl>
              <c:idx val="10"/>
              <c:layout>
                <c:manualLayout>
                  <c:x val="-7.414098700625385E-2"/>
                  <c:y val="5.626496933583547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14F5-4A2B-BD64-D09E19735476}"/>
                </c:ext>
              </c:extLst>
            </c:dLbl>
            <c:dLbl>
              <c:idx val="11"/>
              <c:layout>
                <c:manualLayout>
                  <c:x val="-8.3145098954019142E-2"/>
                  <c:y val="-7.4152850314246439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14F5-4A2B-BD64-D09E19735476}"/>
                </c:ext>
              </c:extLst>
            </c:dLbl>
            <c:dLbl>
              <c:idx val="12"/>
              <c:layout>
                <c:manualLayout>
                  <c:x val="-0.15977710055170954"/>
                  <c:y val="2.4901112713023549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C-14F5-4A2B-BD64-D09E19735476}"/>
                </c:ext>
              </c:extLst>
            </c:dLbl>
            <c:dLbl>
              <c:idx val="13"/>
              <c:layout>
                <c:manualLayout>
                  <c:x val="-7.6148617996824472E-2"/>
                  <c:y val="-5.030444904460652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14F5-4A2B-BD64-D09E19735476}"/>
                </c:ext>
              </c:extLst>
            </c:dLbl>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'Mining Employment CY'!$A$8:$A$19</c:f>
              <c:strCache>
                <c:ptCount val="12"/>
                <c:pt idx="0">
                  <c:v>Alumina and Bauxite</c:v>
                </c:pt>
                <c:pt idx="1">
                  <c:v>Coal</c:v>
                </c:pt>
                <c:pt idx="2">
                  <c:v>Construction Materials</c:v>
                </c:pt>
                <c:pt idx="3">
                  <c:v>Copper-Lead-Zinc</c:v>
                </c:pt>
                <c:pt idx="4">
                  <c:v>Diamond</c:v>
                </c:pt>
                <c:pt idx="5">
                  <c:v>Gold</c:v>
                </c:pt>
                <c:pt idx="6">
                  <c:v>Iron Ore</c:v>
                </c:pt>
                <c:pt idx="7">
                  <c:v>Lithium</c:v>
                </c:pt>
                <c:pt idx="8">
                  <c:v>Mineral Sands</c:v>
                </c:pt>
                <c:pt idx="9">
                  <c:v>Nickel</c:v>
                </c:pt>
                <c:pt idx="10">
                  <c:v>Salt</c:v>
                </c:pt>
                <c:pt idx="11">
                  <c:v>Other</c:v>
                </c:pt>
              </c:strCache>
            </c:strRef>
          </c:cat>
          <c:val>
            <c:numRef>
              <c:f>'Mining Employment CY'!$X$8:$X$19</c:f>
              <c:numCache>
                <c:formatCode>#,##0</c:formatCode>
                <c:ptCount val="12"/>
                <c:pt idx="0">
                  <c:v>7235.4485000000004</c:v>
                </c:pt>
                <c:pt idx="1">
                  <c:v>848.1635</c:v>
                </c:pt>
                <c:pt idx="2">
                  <c:v>962.24649999999997</c:v>
                </c:pt>
                <c:pt idx="3">
                  <c:v>1656.2159999999999</c:v>
                </c:pt>
                <c:pt idx="4">
                  <c:v>377.71699999999998</c:v>
                </c:pt>
                <c:pt idx="5">
                  <c:v>30305.549500000001</c:v>
                </c:pt>
                <c:pt idx="6">
                  <c:v>60814.847000000002</c:v>
                </c:pt>
                <c:pt idx="7">
                  <c:v>10102.3025</c:v>
                </c:pt>
                <c:pt idx="8">
                  <c:v>2932.7914999999998</c:v>
                </c:pt>
                <c:pt idx="9">
                  <c:v>10891.031499999999</c:v>
                </c:pt>
                <c:pt idx="10">
                  <c:v>1002.2225</c:v>
                </c:pt>
                <c:pt idx="11">
                  <c:v>3623.9175</c:v>
                </c:pt>
              </c:numCache>
            </c:numRef>
          </c:val>
          <c:extLst>
            <c:ext xmlns:c16="http://schemas.microsoft.com/office/drawing/2014/chart" uri="{C3380CC4-5D6E-409C-BE32-E72D297353CC}">
              <c16:uniqueId val="{0000000E-14F5-4A2B-BD64-D09E19735476}"/>
            </c:ext>
          </c:extLst>
        </c:ser>
        <c:dLbls>
          <c:showLegendKey val="0"/>
          <c:showVal val="0"/>
          <c:showCatName val="1"/>
          <c:showSerName val="0"/>
          <c:showPercent val="1"/>
          <c:showBubbleSize val="0"/>
          <c:showLeaderLines val="1"/>
        </c:dLbls>
        <c:firstSliceAng val="238"/>
      </c:pieChart>
    </c:plotArea>
    <c:plotVisOnly val="1"/>
    <c:dispBlanksAs val="zero"/>
    <c:showDLblsOverMax val="0"/>
  </c:chart>
  <c:printSettings>
    <c:headerFooter alignWithMargins="0"/>
    <c:pageMargins b="1" l="0.75000000000000344" r="0.75000000000000344" t="1" header="0.5" footer="0.5"/>
    <c:pageSetup paperSize="9" orientation="landscape"/>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strRef>
          <c:f>'Mining Employment CY'!$X$52</c:f>
          <c:strCache>
            <c:ptCount val="1"/>
            <c:pt idx="0">
              <c:v>Total Mining and Mineral Exploration
 Last 10 Calendar Years</c:v>
            </c:pt>
          </c:strCache>
        </c:strRef>
      </c:tx>
      <c:layout>
        <c:manualLayout>
          <c:xMode val="edge"/>
          <c:yMode val="edge"/>
          <c:x val="0.26827704869269953"/>
          <c:y val="1.9985724482512492E-2"/>
        </c:manualLayout>
      </c:layout>
      <c:overlay val="0"/>
      <c:txPr>
        <a:bodyPr rot="0" vert="horz" anchor="t" anchorCtr="1"/>
        <a:lstStyle/>
        <a:p>
          <a:pPr algn="ctr">
            <a:defRPr sz="1600">
              <a:solidFill>
                <a:schemeClr val="tx1"/>
              </a:solidFill>
            </a:defRPr>
          </a:pPr>
          <a:endParaRPr lang="en-US"/>
        </a:p>
      </c:txPr>
    </c:title>
    <c:autoTitleDeleted val="0"/>
    <c:plotArea>
      <c:layout/>
      <c:barChart>
        <c:barDir val="col"/>
        <c:grouping val="clustered"/>
        <c:varyColors val="0"/>
        <c:ser>
          <c:idx val="0"/>
          <c:order val="0"/>
          <c:tx>
            <c:strRef>
              <c:f>'Mining Employment CY'!$P$52:$T$52</c:f>
              <c:strCache>
                <c:ptCount val="5"/>
                <c:pt idx="0">
                  <c:v>Total Mining and Mineral Exploration</c:v>
                </c:pt>
              </c:strCache>
            </c:strRef>
          </c:tx>
          <c:invertIfNegative val="0"/>
          <c:cat>
            <c:numRef>
              <c:f>'Mining Employment CY'!$M$102:$V$102</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'Mining Employment CY'!$M$103:$V$103</c:f>
              <c:numCache>
                <c:formatCode>General</c:formatCode>
                <c:ptCount val="10"/>
                <c:pt idx="0">
                  <c:v>97493.983500000002</c:v>
                </c:pt>
                <c:pt idx="1">
                  <c:v>91107.532500000001</c:v>
                </c:pt>
                <c:pt idx="2">
                  <c:v>85435.5</c:v>
                </c:pt>
                <c:pt idx="3">
                  <c:v>88877.331000000006</c:v>
                </c:pt>
                <c:pt idx="4">
                  <c:v>96897.808499999999</c:v>
                </c:pt>
                <c:pt idx="5">
                  <c:v>105054.796</c:v>
                </c:pt>
                <c:pt idx="6">
                  <c:v>112005.356</c:v>
                </c:pt>
                <c:pt idx="7">
                  <c:v>122250.8845</c:v>
                </c:pt>
                <c:pt idx="8">
                  <c:v>127333.99249999999</c:v>
                </c:pt>
                <c:pt idx="9">
                  <c:v>134716.70000000001</c:v>
                </c:pt>
              </c:numCache>
            </c:numRef>
          </c:val>
          <c:extLst>
            <c:ext xmlns:c16="http://schemas.microsoft.com/office/drawing/2014/chart" uri="{C3380CC4-5D6E-409C-BE32-E72D297353CC}">
              <c16:uniqueId val="{00000000-A666-4CAE-A0A6-9AAEA90E4B04}"/>
            </c:ext>
          </c:extLst>
        </c:ser>
        <c:dLbls>
          <c:showLegendKey val="0"/>
          <c:showVal val="0"/>
          <c:showCatName val="0"/>
          <c:showSerName val="0"/>
          <c:showPercent val="0"/>
          <c:showBubbleSize val="0"/>
        </c:dLbls>
        <c:gapWidth val="75"/>
        <c:overlap val="-25"/>
        <c:axId val="431872256"/>
        <c:axId val="431874432"/>
      </c:barChart>
      <c:dateAx>
        <c:axId val="431872256"/>
        <c:scaling>
          <c:orientation val="minMax"/>
        </c:scaling>
        <c:delete val="0"/>
        <c:axPos val="b"/>
        <c:title>
          <c:tx>
            <c:rich>
              <a:bodyPr/>
              <a:lstStyle/>
              <a:p>
                <a:pPr algn="l">
                  <a:defRPr sz="900"/>
                </a:pPr>
                <a:r>
                  <a:rPr lang="en-AU" sz="900" b="1">
                    <a:effectLst/>
                    <a:latin typeface="+mn-lt"/>
                  </a:rPr>
                  <a:t>Source:  DEMIRS</a:t>
                </a:r>
                <a:endParaRPr lang="en-AU" sz="900" b="0">
                  <a:effectLst/>
                  <a:latin typeface="+mn-lt"/>
                </a:endParaRPr>
              </a:p>
            </c:rich>
          </c:tx>
          <c:layout>
            <c:manualLayout>
              <c:xMode val="edge"/>
              <c:yMode val="edge"/>
              <c:x val="1.0544127737998165E-2"/>
              <c:y val="0.94792830767674408"/>
            </c:manualLayout>
          </c:layout>
          <c:overlay val="0"/>
        </c:title>
        <c:numFmt formatCode="General" sourceLinked="1"/>
        <c:majorTickMark val="none"/>
        <c:minorTickMark val="none"/>
        <c:tickLblPos val="nextTo"/>
        <c:txPr>
          <a:bodyPr rot="-2700000"/>
          <a:lstStyle/>
          <a:p>
            <a:pPr>
              <a:defRPr/>
            </a:pPr>
            <a:endParaRPr lang="en-US"/>
          </a:p>
        </c:txPr>
        <c:crossAx val="431874432"/>
        <c:crosses val="autoZero"/>
        <c:auto val="0"/>
        <c:lblOffset val="100"/>
        <c:baseTimeUnit val="days"/>
      </c:dateAx>
      <c:valAx>
        <c:axId val="431874432"/>
        <c:scaling>
          <c:orientation val="minMax"/>
        </c:scaling>
        <c:delete val="0"/>
        <c:axPos val="l"/>
        <c:majorGridlines/>
        <c:title>
          <c:tx>
            <c:rich>
              <a:bodyPr rot="-5400000" vert="horz"/>
              <a:lstStyle/>
              <a:p>
                <a:pPr>
                  <a:defRPr/>
                </a:pPr>
                <a:r>
                  <a:rPr lang="en-AU" baseline="0"/>
                  <a:t>FTEs</a:t>
                </a:r>
                <a:endParaRPr lang="en-AU"/>
              </a:p>
            </c:rich>
          </c:tx>
          <c:layout>
            <c:manualLayout>
              <c:xMode val="edge"/>
              <c:yMode val="edge"/>
              <c:x val="1.7913599724972838E-2"/>
              <c:y val="0.42089328769663958"/>
            </c:manualLayout>
          </c:layout>
          <c:overlay val="0"/>
        </c:title>
        <c:numFmt formatCode="#,##0" sourceLinked="0"/>
        <c:majorTickMark val="none"/>
        <c:minorTickMark val="none"/>
        <c:tickLblPos val="nextTo"/>
        <c:crossAx val="431872256"/>
        <c:crosses val="autoZero"/>
        <c:crossBetween val="between"/>
      </c:valAx>
    </c:plotArea>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2"/>
    </mc:Choice>
    <mc:Fallback>
      <c:style val="12"/>
    </mc:Fallback>
  </mc:AlternateContent>
  <c:chart>
    <c:title>
      <c:tx>
        <c:rich>
          <a:bodyPr/>
          <a:lstStyle/>
          <a:p>
            <a:pPr>
              <a:defRPr>
                <a:solidFill>
                  <a:sysClr val="windowText" lastClr="000000"/>
                </a:solidFill>
              </a:defRPr>
            </a:pPr>
            <a:r>
              <a:rPr lang="en-AU" sz="1600">
                <a:solidFill>
                  <a:sysClr val="windowText" lastClr="000000"/>
                </a:solidFill>
              </a:rPr>
              <a:t>Mining </a:t>
            </a:r>
            <a:r>
              <a:rPr lang="en-AU" sz="1600" baseline="0">
                <a:solidFill>
                  <a:sysClr val="windowText" lastClr="000000"/>
                </a:solidFill>
              </a:rPr>
              <a:t>FTEs</a:t>
            </a:r>
          </a:p>
          <a:p>
            <a:pPr>
              <a:defRPr>
                <a:solidFill>
                  <a:sysClr val="windowText" lastClr="000000"/>
                </a:solidFill>
              </a:defRPr>
            </a:pPr>
            <a:r>
              <a:rPr lang="en-AU" sz="900" baseline="0">
                <a:solidFill>
                  <a:sysClr val="windowText" lastClr="000000"/>
                </a:solidFill>
              </a:rPr>
              <a:t>By Commodity, 2023-24</a:t>
            </a:r>
            <a:endParaRPr lang="en-AU" sz="900">
              <a:solidFill>
                <a:sysClr val="windowText" lastClr="000000"/>
              </a:solidFill>
            </a:endParaRPr>
          </a:p>
        </c:rich>
      </c:tx>
      <c:layout>
        <c:manualLayout>
          <c:xMode val="edge"/>
          <c:yMode val="edge"/>
          <c:x val="0.41024275522331255"/>
          <c:y val="3.0527525261059105E-2"/>
        </c:manualLayout>
      </c:layout>
      <c:overlay val="0"/>
    </c:title>
    <c:autoTitleDeleted val="0"/>
    <c:plotArea>
      <c:layout>
        <c:manualLayout>
          <c:layoutTarget val="inner"/>
          <c:xMode val="edge"/>
          <c:yMode val="edge"/>
          <c:x val="0.42033790030518997"/>
          <c:y val="0.16675791062597858"/>
          <c:w val="0.41354941402722173"/>
          <c:h val="0.64882679138791854"/>
        </c:manualLayout>
      </c:layout>
      <c:pie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'Mining Employment FY'!$A$8:$A$19</c:f>
              <c:strCache>
                <c:ptCount val="12"/>
                <c:pt idx="0">
                  <c:v>Alumina and Bauxite</c:v>
                </c:pt>
                <c:pt idx="1">
                  <c:v>Coal</c:v>
                </c:pt>
                <c:pt idx="2">
                  <c:v>Construction Materials</c:v>
                </c:pt>
                <c:pt idx="3">
                  <c:v>Copper-Lead-Zinc</c:v>
                </c:pt>
                <c:pt idx="4">
                  <c:v>Diamond</c:v>
                </c:pt>
                <c:pt idx="5">
                  <c:v>Gold</c:v>
                </c:pt>
                <c:pt idx="6">
                  <c:v>Iron Ore</c:v>
                </c:pt>
                <c:pt idx="7">
                  <c:v>Lithium</c:v>
                </c:pt>
                <c:pt idx="8">
                  <c:v>Mineral Sands</c:v>
                </c:pt>
                <c:pt idx="9">
                  <c:v>Nickel</c:v>
                </c:pt>
                <c:pt idx="10">
                  <c:v>Salt</c:v>
                </c:pt>
                <c:pt idx="11">
                  <c:v>Other</c:v>
                </c:pt>
              </c:strCache>
            </c:strRef>
          </c:cat>
          <c:val>
            <c:numRef>
              <c:f>'Mining Employment FY'!$X$8:$X$19</c:f>
              <c:numCache>
                <c:formatCode>_-* #,##0_-;\-* #,##0_-;_-* "-"??_-;_-@_-</c:formatCode>
                <c:ptCount val="12"/>
                <c:pt idx="0">
                  <c:v>7021.3689999999997</c:v>
                </c:pt>
                <c:pt idx="1">
                  <c:v>860.74199999999996</c:v>
                </c:pt>
                <c:pt idx="2">
                  <c:v>882.86</c:v>
                </c:pt>
                <c:pt idx="3">
                  <c:v>1499.44</c:v>
                </c:pt>
                <c:pt idx="4">
                  <c:v>384.18599999999998</c:v>
                </c:pt>
                <c:pt idx="5">
                  <c:v>31883.848999999998</c:v>
                </c:pt>
                <c:pt idx="6">
                  <c:v>62950.315000000002</c:v>
                </c:pt>
                <c:pt idx="7">
                  <c:v>11386.052</c:v>
                </c:pt>
                <c:pt idx="8">
                  <c:v>2892.31</c:v>
                </c:pt>
                <c:pt idx="9">
                  <c:v>10434.2515</c:v>
                </c:pt>
                <c:pt idx="10">
                  <c:v>1085.7885000000001</c:v>
                </c:pt>
                <c:pt idx="11">
                  <c:v>3590.018</c:v>
                </c:pt>
              </c:numCache>
            </c:numRef>
          </c:val>
          <c:extLst>
            <c:ext xmlns:c16="http://schemas.microsoft.com/office/drawing/2014/chart" uri="{C3380CC4-5D6E-409C-BE32-E72D297353CC}">
              <c16:uniqueId val="{0000000E-5906-4BDF-9F03-7F7C6347F240}"/>
            </c:ext>
          </c:extLst>
        </c:ser>
        <c:dLbls>
          <c:showLegendKey val="0"/>
          <c:showVal val="0"/>
          <c:showCatName val="1"/>
          <c:showSerName val="0"/>
          <c:showPercent val="1"/>
          <c:showBubbleSize val="0"/>
          <c:showLeaderLines val="1"/>
        </c:dLbls>
        <c:firstSliceAng val="245"/>
      </c:pieChart>
    </c:plotArea>
    <c:plotVisOnly val="1"/>
    <c:dispBlanksAs val="zero"/>
    <c:showDLblsOverMax val="0"/>
  </c:chart>
  <c:printSettings>
    <c:headerFooter alignWithMargins="0"/>
    <c:pageMargins b="1" l="0.75000000000000344" r="0.75000000000000344" t="1" header="0.5" footer="0.5"/>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strRef>
          <c:f>'Mining Employment FY'!$X$51</c:f>
          <c:strCache>
            <c:ptCount val="1"/>
            <c:pt idx="0">
              <c:v>Total Mining and Mineral Exploration
 Last 10 Financial Years</c:v>
            </c:pt>
          </c:strCache>
        </c:strRef>
      </c:tx>
      <c:layout>
        <c:manualLayout>
          <c:xMode val="edge"/>
          <c:yMode val="edge"/>
          <c:x val="0.24012009431998999"/>
          <c:y val="2.2757287259682152E-2"/>
        </c:manualLayout>
      </c:layout>
      <c:overlay val="0"/>
    </c:title>
    <c:autoTitleDeleted val="0"/>
    <c:plotArea>
      <c:layout/>
      <c:barChart>
        <c:barDir val="col"/>
        <c:grouping val="clustered"/>
        <c:varyColors val="0"/>
        <c:ser>
          <c:idx val="0"/>
          <c:order val="0"/>
          <c:tx>
            <c:strRef>
              <c:f>'Mining Employment FY'!$O$51:$S$51</c:f>
              <c:strCache>
                <c:ptCount val="5"/>
                <c:pt idx="0">
                  <c:v>Total Mining and Mineral Exploration</c:v>
                </c:pt>
              </c:strCache>
            </c:strRef>
          </c:tx>
          <c:invertIfNegative val="0"/>
          <c:cat>
            <c:strRef>
              <c:f>'Mining Employment FY'!$N$101:$W$101</c:f>
              <c:strCache>
                <c:ptCount val="10"/>
                <c:pt idx="0">
                  <c:v>2014-15</c:v>
                </c:pt>
                <c:pt idx="1">
                  <c:v>2015-16</c:v>
                </c:pt>
                <c:pt idx="2">
                  <c:v>2016-17</c:v>
                </c:pt>
                <c:pt idx="3">
                  <c:v>2017-18</c:v>
                </c:pt>
                <c:pt idx="4">
                  <c:v>2018-19</c:v>
                </c:pt>
                <c:pt idx="5">
                  <c:v>2019-20</c:v>
                </c:pt>
                <c:pt idx="6">
                  <c:v>2020-21</c:v>
                </c:pt>
                <c:pt idx="7">
                  <c:v>2021-22</c:v>
                </c:pt>
                <c:pt idx="8">
                  <c:v>2022-23</c:v>
                </c:pt>
                <c:pt idx="9">
                  <c:v>2023-24</c:v>
                </c:pt>
              </c:strCache>
            </c:strRef>
          </c:cat>
          <c:val>
            <c:numRef>
              <c:f>'Mining Employment FY'!$N$102:$W$102</c:f>
              <c:numCache>
                <c:formatCode>General</c:formatCode>
                <c:ptCount val="10"/>
                <c:pt idx="0">
                  <c:v>94730.441000000006</c:v>
                </c:pt>
                <c:pt idx="1">
                  <c:v>87834.373500000002</c:v>
                </c:pt>
                <c:pt idx="2">
                  <c:v>86488.218500000003</c:v>
                </c:pt>
                <c:pt idx="3">
                  <c:v>92300.384000000005</c:v>
                </c:pt>
                <c:pt idx="4">
                  <c:v>101136.67</c:v>
                </c:pt>
                <c:pt idx="5">
                  <c:v>107770.73</c:v>
                </c:pt>
                <c:pt idx="6">
                  <c:v>118089.075</c:v>
                </c:pt>
                <c:pt idx="7">
                  <c:v>123723.3195</c:v>
                </c:pt>
                <c:pt idx="8">
                  <c:v>131738.48850000001</c:v>
                </c:pt>
                <c:pt idx="9">
                  <c:v>139033.83900000001</c:v>
                </c:pt>
              </c:numCache>
            </c:numRef>
          </c:val>
          <c:extLst>
            <c:ext xmlns:c16="http://schemas.microsoft.com/office/drawing/2014/chart" uri="{C3380CC4-5D6E-409C-BE32-E72D297353CC}">
              <c16:uniqueId val="{00000000-DC5D-4CA9-BD34-544837C836EC}"/>
            </c:ext>
          </c:extLst>
        </c:ser>
        <c:dLbls>
          <c:showLegendKey val="0"/>
          <c:showVal val="0"/>
          <c:showCatName val="0"/>
          <c:showSerName val="0"/>
          <c:showPercent val="0"/>
          <c:showBubbleSize val="0"/>
        </c:dLbls>
        <c:gapWidth val="75"/>
        <c:overlap val="-25"/>
        <c:axId val="432444160"/>
        <c:axId val="432446080"/>
      </c:barChart>
      <c:catAx>
        <c:axId val="432444160"/>
        <c:scaling>
          <c:orientation val="minMax"/>
        </c:scaling>
        <c:delete val="0"/>
        <c:axPos val="b"/>
        <c:title>
          <c:tx>
            <c:rich>
              <a:bodyPr/>
              <a:lstStyle/>
              <a:p>
                <a:pPr algn="l">
                  <a:defRPr/>
                </a:pPr>
                <a:r>
                  <a:rPr lang="en-AU" sz="900" b="1">
                    <a:effectLst/>
                    <a:latin typeface="+mn-lt"/>
                  </a:rPr>
                  <a:t>Source: DEMIRS</a:t>
                </a:r>
              </a:p>
            </c:rich>
          </c:tx>
          <c:layout>
            <c:manualLayout>
              <c:xMode val="edge"/>
              <c:yMode val="edge"/>
              <c:x val="6.8668805879999037E-3"/>
              <c:y val="0.94782803689983719"/>
            </c:manualLayout>
          </c:layout>
          <c:overlay val="0"/>
        </c:title>
        <c:numFmt formatCode="General" sourceLinked="1"/>
        <c:majorTickMark val="none"/>
        <c:minorTickMark val="none"/>
        <c:tickLblPos val="nextTo"/>
        <c:txPr>
          <a:bodyPr rot="-2700000"/>
          <a:lstStyle/>
          <a:p>
            <a:pPr>
              <a:defRPr/>
            </a:pPr>
            <a:endParaRPr lang="en-US"/>
          </a:p>
        </c:txPr>
        <c:crossAx val="432446080"/>
        <c:crosses val="autoZero"/>
        <c:auto val="0"/>
        <c:lblAlgn val="ctr"/>
        <c:lblOffset val="100"/>
        <c:tickMarkSkip val="1"/>
        <c:noMultiLvlLbl val="0"/>
      </c:catAx>
      <c:valAx>
        <c:axId val="432446080"/>
        <c:scaling>
          <c:orientation val="minMax"/>
        </c:scaling>
        <c:delete val="0"/>
        <c:axPos val="l"/>
        <c:majorGridlines/>
        <c:title>
          <c:tx>
            <c:rich>
              <a:bodyPr rot="-5400000" vert="horz"/>
              <a:lstStyle/>
              <a:p>
                <a:pPr>
                  <a:defRPr/>
                </a:pPr>
                <a:r>
                  <a:rPr lang="en-AU" baseline="0"/>
                  <a:t>FTEs</a:t>
                </a:r>
                <a:endParaRPr lang="en-AU"/>
              </a:p>
            </c:rich>
          </c:tx>
          <c:layout>
            <c:manualLayout>
              <c:xMode val="edge"/>
              <c:yMode val="edge"/>
              <c:x val="1.4709263303341493E-2"/>
              <c:y val="0.44974693717375996"/>
            </c:manualLayout>
          </c:layout>
          <c:overlay val="0"/>
        </c:title>
        <c:numFmt formatCode="#,##0" sourceLinked="0"/>
        <c:majorTickMark val="none"/>
        <c:minorTickMark val="none"/>
        <c:tickLblPos val="nextTo"/>
        <c:crossAx val="432444160"/>
        <c:crosses val="autoZero"/>
        <c:crossBetween val="between"/>
      </c:valAx>
    </c:plotArea>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r>
              <a:rPr lang="en-AU"/>
              <a:t>Total Mining Employment</a:t>
            </a:r>
          </a:p>
          <a:p>
            <a:pPr>
              <a:defRPr/>
            </a:pPr>
            <a:r>
              <a:rPr lang="en-AU" sz="1100"/>
              <a:t>FTEs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n-US"/>
        </a:p>
      </c:txPr>
    </c:title>
    <c:autoTitleDeleted val="0"/>
    <c:plotArea>
      <c:layout>
        <c:manualLayout>
          <c:layoutTarget val="inner"/>
          <c:xMode val="edge"/>
          <c:yMode val="edge"/>
          <c:x val="9.9652773688428259E-2"/>
          <c:y val="0.12031207671352923"/>
          <c:w val="0.87590294241119915"/>
          <c:h val="0.74091613480426077"/>
        </c:manualLayout>
      </c:layout>
      <c:lineChart>
        <c:grouping val="standard"/>
        <c:varyColors val="0"/>
        <c:ser>
          <c:idx val="0"/>
          <c:order val="0"/>
          <c:tx>
            <c:v>FTEs</c:v>
          </c:tx>
          <c:spPr>
            <a:ln w="28575" cap="rnd" cmpd="sng" algn="ctr">
              <a:solidFill>
                <a:schemeClr val="accent2">
                  <a:shade val="95000"/>
                  <a:satMod val="105000"/>
                </a:schemeClr>
              </a:solidFill>
              <a:prstDash val="solid"/>
              <a:round/>
            </a:ln>
            <a:effectLst/>
          </c:spPr>
          <c:marker>
            <c:symbol val="none"/>
          </c:marker>
          <c:dPt>
            <c:idx val="255"/>
            <c:bubble3D val="0"/>
            <c:spPr>
              <a:ln w="28575" cap="rnd" cmpd="sng" algn="ctr">
                <a:solidFill>
                  <a:schemeClr val="accent5"/>
                </a:solidFill>
                <a:prstDash val="solid"/>
                <a:round/>
              </a:ln>
              <a:effectLst/>
            </c:spPr>
            <c:extLst>
              <c:ext xmlns:c16="http://schemas.microsoft.com/office/drawing/2014/chart" uri="{C3380CC4-5D6E-409C-BE32-E72D297353CC}">
                <c16:uniqueId val="{00000000-6C18-4967-AA32-6E8052359116}"/>
              </c:ext>
            </c:extLst>
          </c:dPt>
          <c:dPt>
            <c:idx val="256"/>
            <c:bubble3D val="0"/>
            <c:spPr>
              <a:ln w="28575" cap="rnd" cmpd="sng" algn="ctr">
                <a:solidFill>
                  <a:schemeClr val="accent5"/>
                </a:solidFill>
                <a:prstDash val="solid"/>
                <a:round/>
              </a:ln>
              <a:effectLst/>
            </c:spPr>
            <c:extLst>
              <c:ext xmlns:c16="http://schemas.microsoft.com/office/drawing/2014/chart" uri="{C3380CC4-5D6E-409C-BE32-E72D297353CC}">
                <c16:uniqueId val="{00000001-6C18-4967-AA32-6E8052359116}"/>
              </c:ext>
            </c:extLst>
          </c:dPt>
          <c:dPt>
            <c:idx val="257"/>
            <c:bubble3D val="0"/>
            <c:spPr>
              <a:ln w="28575" cap="rnd" cmpd="sng" algn="ctr">
                <a:solidFill>
                  <a:schemeClr val="accent5"/>
                </a:solidFill>
                <a:prstDash val="solid"/>
                <a:round/>
              </a:ln>
              <a:effectLst/>
            </c:spPr>
            <c:extLst>
              <c:ext xmlns:c16="http://schemas.microsoft.com/office/drawing/2014/chart" uri="{C3380CC4-5D6E-409C-BE32-E72D297353CC}">
                <c16:uniqueId val="{00000004-6C18-4967-AA32-6E8052359116}"/>
              </c:ext>
            </c:extLst>
          </c:dPt>
          <c:dPt>
            <c:idx val="258"/>
            <c:bubble3D val="0"/>
            <c:spPr>
              <a:ln w="28575" cap="rnd" cmpd="sng" algn="ctr">
                <a:solidFill>
                  <a:schemeClr val="accent5"/>
                </a:solidFill>
                <a:prstDash val="solid"/>
                <a:round/>
              </a:ln>
              <a:effectLst/>
            </c:spPr>
            <c:extLst>
              <c:ext xmlns:c16="http://schemas.microsoft.com/office/drawing/2014/chart" uri="{C3380CC4-5D6E-409C-BE32-E72D297353CC}">
                <c16:uniqueId val="{00000002-6C18-4967-AA32-6E8052359116}"/>
              </c:ext>
            </c:extLst>
          </c:dPt>
          <c:dPt>
            <c:idx val="259"/>
            <c:bubble3D val="0"/>
            <c:spPr>
              <a:ln w="28575" cap="rnd" cmpd="sng" algn="ctr">
                <a:solidFill>
                  <a:schemeClr val="accent5"/>
                </a:solidFill>
                <a:prstDash val="solid"/>
                <a:round/>
              </a:ln>
              <a:effectLst/>
            </c:spPr>
            <c:extLst>
              <c:ext xmlns:c16="http://schemas.microsoft.com/office/drawing/2014/chart" uri="{C3380CC4-5D6E-409C-BE32-E72D297353CC}">
                <c16:uniqueId val="{00000005-6C18-4967-AA32-6E8052359116}"/>
              </c:ext>
            </c:extLst>
          </c:dPt>
          <c:dPt>
            <c:idx val="260"/>
            <c:bubble3D val="0"/>
            <c:spPr>
              <a:ln w="28575" cap="rnd" cmpd="sng" algn="ctr">
                <a:solidFill>
                  <a:schemeClr val="accent5"/>
                </a:solidFill>
                <a:prstDash val="solid"/>
                <a:round/>
              </a:ln>
              <a:effectLst/>
            </c:spPr>
            <c:extLst>
              <c:ext xmlns:c16="http://schemas.microsoft.com/office/drawing/2014/chart" uri="{C3380CC4-5D6E-409C-BE32-E72D297353CC}">
                <c16:uniqueId val="{00000003-6C18-4967-AA32-6E8052359116}"/>
              </c:ext>
            </c:extLst>
          </c:dPt>
          <c:dPt>
            <c:idx val="261"/>
            <c:bubble3D val="0"/>
            <c:spPr>
              <a:ln w="28575" cap="rnd" cmpd="sng" algn="ctr">
                <a:solidFill>
                  <a:schemeClr val="accent5"/>
                </a:solidFill>
                <a:prstDash val="solid"/>
                <a:round/>
              </a:ln>
              <a:effectLst/>
            </c:spPr>
            <c:extLst>
              <c:ext xmlns:c16="http://schemas.microsoft.com/office/drawing/2014/chart" uri="{C3380CC4-5D6E-409C-BE32-E72D297353CC}">
                <c16:uniqueId val="{00000006-6C18-4967-AA32-6E8052359116}"/>
              </c:ext>
            </c:extLst>
          </c:dPt>
          <c:dPt>
            <c:idx val="262"/>
            <c:bubble3D val="0"/>
            <c:spPr>
              <a:ln w="28575" cap="rnd" cmpd="sng" algn="ctr">
                <a:solidFill>
                  <a:schemeClr val="accent5"/>
                </a:solidFill>
                <a:prstDash val="solid"/>
                <a:round/>
              </a:ln>
              <a:effectLst/>
            </c:spPr>
            <c:extLst>
              <c:ext xmlns:c16="http://schemas.microsoft.com/office/drawing/2014/chart" uri="{C3380CC4-5D6E-409C-BE32-E72D297353CC}">
                <c16:uniqueId val="{00000007-6C18-4967-AA32-6E8052359116}"/>
              </c:ext>
            </c:extLst>
          </c:dPt>
          <c:dPt>
            <c:idx val="263"/>
            <c:bubble3D val="0"/>
            <c:spPr>
              <a:ln w="28575" cap="rnd" cmpd="sng" algn="ctr">
                <a:solidFill>
                  <a:schemeClr val="accent5"/>
                </a:solidFill>
                <a:prstDash val="solid"/>
                <a:round/>
              </a:ln>
              <a:effectLst/>
            </c:spPr>
            <c:extLst>
              <c:ext xmlns:c16="http://schemas.microsoft.com/office/drawing/2014/chart" uri="{C3380CC4-5D6E-409C-BE32-E72D297353CC}">
                <c16:uniqueId val="{00000008-6C18-4967-AA32-6E8052359116}"/>
              </c:ext>
            </c:extLst>
          </c:dPt>
          <c:cat>
            <c:numRef>
              <c:f>'Mining Employment Report Period'!$B$9:$SY$9</c:f>
              <c:numCache>
                <c:formatCode>mmm\-yy</c:formatCode>
                <c:ptCount val="51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44713</c:v>
                </c:pt>
                <c:pt idx="256">
                  <c:v>44805</c:v>
                </c:pt>
                <c:pt idx="257">
                  <c:v>44896</c:v>
                </c:pt>
                <c:pt idx="258">
                  <c:v>44986</c:v>
                </c:pt>
                <c:pt idx="259">
                  <c:v>45078</c:v>
                </c:pt>
                <c:pt idx="260">
                  <c:v>45170</c:v>
                </c:pt>
                <c:pt idx="261">
                  <c:v>45261</c:v>
                </c:pt>
                <c:pt idx="262">
                  <c:v>45352</c:v>
                </c:pt>
                <c:pt idx="263">
                  <c:v>45444</c:v>
                </c:pt>
              </c:numCache>
            </c:numRef>
          </c:cat>
          <c:val>
            <c:numRef>
              <c:f>'Mining Employment Report Period'!$B$56:$SY$56</c:f>
              <c:numCache>
                <c:formatCode>#,##0</c:formatCode>
                <c:ptCount val="518"/>
                <c:pt idx="0">
                  <c:v>40167.18</c:v>
                </c:pt>
                <c:pt idx="1">
                  <c:v>39917.67</c:v>
                </c:pt>
                <c:pt idx="2">
                  <c:v>45839.520000000004</c:v>
                </c:pt>
                <c:pt idx="3">
                  <c:v>41703.072</c:v>
                </c:pt>
                <c:pt idx="4">
                  <c:v>44205.258000000002</c:v>
                </c:pt>
                <c:pt idx="5">
                  <c:v>43146.486000000004</c:v>
                </c:pt>
                <c:pt idx="6">
                  <c:v>43612.47</c:v>
                </c:pt>
                <c:pt idx="7">
                  <c:v>44714.561999999998</c:v>
                </c:pt>
                <c:pt idx="8">
                  <c:v>42404.585999999996</c:v>
                </c:pt>
                <c:pt idx="9">
                  <c:v>43806.899999999994</c:v>
                </c:pt>
                <c:pt idx="10">
                  <c:v>44061.51</c:v>
                </c:pt>
                <c:pt idx="11">
                  <c:v>42315.881999999998</c:v>
                </c:pt>
                <c:pt idx="12">
                  <c:v>42612.671999999999</c:v>
                </c:pt>
                <c:pt idx="13">
                  <c:v>39013.164000000004</c:v>
                </c:pt>
                <c:pt idx="14">
                  <c:v>42429.804000000004</c:v>
                </c:pt>
                <c:pt idx="15">
                  <c:v>41073.474000000002</c:v>
                </c:pt>
                <c:pt idx="16">
                  <c:v>41345.07</c:v>
                </c:pt>
                <c:pt idx="17">
                  <c:v>39549.894</c:v>
                </c:pt>
                <c:pt idx="18">
                  <c:v>42973.32</c:v>
                </c:pt>
                <c:pt idx="19">
                  <c:v>41163.983999999997</c:v>
                </c:pt>
                <c:pt idx="20">
                  <c:v>42477.023999999998</c:v>
                </c:pt>
                <c:pt idx="21">
                  <c:v>43224.408000000003</c:v>
                </c:pt>
                <c:pt idx="22">
                  <c:v>43374.972000000002</c:v>
                </c:pt>
                <c:pt idx="23">
                  <c:v>41941.523999999998</c:v>
                </c:pt>
                <c:pt idx="24">
                  <c:v>41638.433999999994</c:v>
                </c:pt>
                <c:pt idx="25">
                  <c:v>41160.966</c:v>
                </c:pt>
                <c:pt idx="26">
                  <c:v>44991.479999999996</c:v>
                </c:pt>
                <c:pt idx="27">
                  <c:v>42653.850000000006</c:v>
                </c:pt>
                <c:pt idx="28">
                  <c:v>45612.81</c:v>
                </c:pt>
                <c:pt idx="29">
                  <c:v>43746.42</c:v>
                </c:pt>
                <c:pt idx="30">
                  <c:v>45563.813999999998</c:v>
                </c:pt>
                <c:pt idx="31">
                  <c:v>44949.408000000003</c:v>
                </c:pt>
                <c:pt idx="32">
                  <c:v>44333.159999999996</c:v>
                </c:pt>
                <c:pt idx="33">
                  <c:v>45598.92</c:v>
                </c:pt>
                <c:pt idx="34">
                  <c:v>44814.384000000005</c:v>
                </c:pt>
                <c:pt idx="35">
                  <c:v>43875.504000000001</c:v>
                </c:pt>
                <c:pt idx="36">
                  <c:v>44261.453999999998</c:v>
                </c:pt>
                <c:pt idx="37">
                  <c:v>45707.952000000005</c:v>
                </c:pt>
                <c:pt idx="38">
                  <c:v>49019.01</c:v>
                </c:pt>
                <c:pt idx="39">
                  <c:v>46516.26</c:v>
                </c:pt>
                <c:pt idx="40">
                  <c:v>49095.227999999996</c:v>
                </c:pt>
                <c:pt idx="41">
                  <c:v>49692.906000000003</c:v>
                </c:pt>
                <c:pt idx="42">
                  <c:v>49601.663999999997</c:v>
                </c:pt>
                <c:pt idx="43">
                  <c:v>49699.044000000009</c:v>
                </c:pt>
                <c:pt idx="44">
                  <c:v>50140.055999999997</c:v>
                </c:pt>
                <c:pt idx="45">
                  <c:v>50215.163999999997</c:v>
                </c:pt>
                <c:pt idx="46">
                  <c:v>50622.240000000005</c:v>
                </c:pt>
                <c:pt idx="47">
                  <c:v>48528.023999999998</c:v>
                </c:pt>
                <c:pt idx="48">
                  <c:v>47151.671999999999</c:v>
                </c:pt>
                <c:pt idx="49">
                  <c:v>47541.384000000005</c:v>
                </c:pt>
                <c:pt idx="50">
                  <c:v>51063.725999999995</c:v>
                </c:pt>
                <c:pt idx="51">
                  <c:v>50496.671999999991</c:v>
                </c:pt>
                <c:pt idx="52">
                  <c:v>53290.338000000003</c:v>
                </c:pt>
                <c:pt idx="53">
                  <c:v>52548.978000000003</c:v>
                </c:pt>
                <c:pt idx="54">
                  <c:v>54503.603999999992</c:v>
                </c:pt>
                <c:pt idx="55">
                  <c:v>54065.574000000001</c:v>
                </c:pt>
                <c:pt idx="56">
                  <c:v>54289.512000000002</c:v>
                </c:pt>
                <c:pt idx="57">
                  <c:v>54792.966</c:v>
                </c:pt>
                <c:pt idx="58">
                  <c:v>56607.552000000003</c:v>
                </c:pt>
                <c:pt idx="59">
                  <c:v>53035.734000000004</c:v>
                </c:pt>
                <c:pt idx="60">
                  <c:v>51832.151999999995</c:v>
                </c:pt>
                <c:pt idx="61">
                  <c:v>54404.034</c:v>
                </c:pt>
                <c:pt idx="62">
                  <c:v>59069.94</c:v>
                </c:pt>
                <c:pt idx="63">
                  <c:v>55785.072</c:v>
                </c:pt>
                <c:pt idx="64">
                  <c:v>62270.831999999995</c:v>
                </c:pt>
                <c:pt idx="65">
                  <c:v>61855.872000000003</c:v>
                </c:pt>
                <c:pt idx="66">
                  <c:v>61562.921999999991</c:v>
                </c:pt>
                <c:pt idx="67">
                  <c:v>62207.466</c:v>
                </c:pt>
                <c:pt idx="68">
                  <c:v>61817.513999999996</c:v>
                </c:pt>
                <c:pt idx="69">
                  <c:v>62377.962</c:v>
                </c:pt>
                <c:pt idx="70">
                  <c:v>63135.894</c:v>
                </c:pt>
                <c:pt idx="71">
                  <c:v>59764.29</c:v>
                </c:pt>
                <c:pt idx="72">
                  <c:v>59287.86</c:v>
                </c:pt>
                <c:pt idx="73">
                  <c:v>62145.714000000007</c:v>
                </c:pt>
                <c:pt idx="74">
                  <c:v>65837.244000000006</c:v>
                </c:pt>
                <c:pt idx="75">
                  <c:v>62070.941999999995</c:v>
                </c:pt>
                <c:pt idx="76">
                  <c:v>67154.262000000002</c:v>
                </c:pt>
                <c:pt idx="77">
                  <c:v>66094.986000000004</c:v>
                </c:pt>
                <c:pt idx="78">
                  <c:v>67003.025999999998</c:v>
                </c:pt>
                <c:pt idx="79">
                  <c:v>69270.084000000003</c:v>
                </c:pt>
                <c:pt idx="80">
                  <c:v>66611.754000000001</c:v>
                </c:pt>
                <c:pt idx="81">
                  <c:v>65497.17</c:v>
                </c:pt>
                <c:pt idx="82">
                  <c:v>67679.027999999991</c:v>
                </c:pt>
                <c:pt idx="83">
                  <c:v>61560.678</c:v>
                </c:pt>
                <c:pt idx="84">
                  <c:v>63267.455999999991</c:v>
                </c:pt>
                <c:pt idx="85">
                  <c:v>65403.81</c:v>
                </c:pt>
                <c:pt idx="86">
                  <c:v>66618.066000000006</c:v>
                </c:pt>
                <c:pt idx="87">
                  <c:v>67841.117999999988</c:v>
                </c:pt>
                <c:pt idx="88">
                  <c:v>71364.612000000008</c:v>
                </c:pt>
                <c:pt idx="89">
                  <c:v>71279.069999999992</c:v>
                </c:pt>
                <c:pt idx="90">
                  <c:v>74463.084000000003</c:v>
                </c:pt>
                <c:pt idx="91">
                  <c:v>77140.236000000004</c:v>
                </c:pt>
                <c:pt idx="92">
                  <c:v>75092.051999999996</c:v>
                </c:pt>
                <c:pt idx="93">
                  <c:v>77772.600000000006</c:v>
                </c:pt>
                <c:pt idx="94">
                  <c:v>73745.700000000012</c:v>
                </c:pt>
                <c:pt idx="95">
                  <c:v>68453.66399999999</c:v>
                </c:pt>
                <c:pt idx="96">
                  <c:v>67056.312000000005</c:v>
                </c:pt>
                <c:pt idx="97">
                  <c:v>66766.896000000008</c:v>
                </c:pt>
                <c:pt idx="98">
                  <c:v>70813.271999999997</c:v>
                </c:pt>
                <c:pt idx="99">
                  <c:v>68591.334000000003</c:v>
                </c:pt>
                <c:pt idx="100">
                  <c:v>70295.207999999999</c:v>
                </c:pt>
                <c:pt idx="101">
                  <c:v>68165.981999999989</c:v>
                </c:pt>
                <c:pt idx="102">
                  <c:v>68813.525999999998</c:v>
                </c:pt>
                <c:pt idx="103">
                  <c:v>67323.191999999995</c:v>
                </c:pt>
                <c:pt idx="104">
                  <c:v>65728.38</c:v>
                </c:pt>
                <c:pt idx="105">
                  <c:v>67691.694000000003</c:v>
                </c:pt>
                <c:pt idx="106">
                  <c:v>65896.554000000004</c:v>
                </c:pt>
                <c:pt idx="107">
                  <c:v>64033.686000000002</c:v>
                </c:pt>
                <c:pt idx="108">
                  <c:v>62117.04</c:v>
                </c:pt>
                <c:pt idx="109">
                  <c:v>64937.736000000004</c:v>
                </c:pt>
                <c:pt idx="110">
                  <c:v>70219.661999999997</c:v>
                </c:pt>
                <c:pt idx="111">
                  <c:v>68110.524000000005</c:v>
                </c:pt>
                <c:pt idx="112">
                  <c:v>70731.462</c:v>
                </c:pt>
                <c:pt idx="113">
                  <c:v>72070.481999999989</c:v>
                </c:pt>
                <c:pt idx="114">
                  <c:v>74514.641999999993</c:v>
                </c:pt>
                <c:pt idx="115">
                  <c:v>76321.584000000003</c:v>
                </c:pt>
                <c:pt idx="116">
                  <c:v>74703.617999999988</c:v>
                </c:pt>
                <c:pt idx="117">
                  <c:v>77680.572</c:v>
                </c:pt>
                <c:pt idx="118">
                  <c:v>79505.717999999993</c:v>
                </c:pt>
                <c:pt idx="119">
                  <c:v>74077.686000000002</c:v>
                </c:pt>
                <c:pt idx="120">
                  <c:v>74746.698000000004</c:v>
                </c:pt>
                <c:pt idx="121">
                  <c:v>74965.962</c:v>
                </c:pt>
                <c:pt idx="122">
                  <c:v>82242.65400000001</c:v>
                </c:pt>
                <c:pt idx="123">
                  <c:v>79736.19</c:v>
                </c:pt>
                <c:pt idx="124">
                  <c:v>88773.641999999993</c:v>
                </c:pt>
                <c:pt idx="125">
                  <c:v>86702.622000000003</c:v>
                </c:pt>
                <c:pt idx="126">
                  <c:v>88320.054000000004</c:v>
                </c:pt>
                <c:pt idx="127">
                  <c:v>92354.063999999998</c:v>
                </c:pt>
                <c:pt idx="128">
                  <c:v>90722.856</c:v>
                </c:pt>
                <c:pt idx="129">
                  <c:v>92505.072</c:v>
                </c:pt>
                <c:pt idx="130">
                  <c:v>93601.77</c:v>
                </c:pt>
                <c:pt idx="131">
                  <c:v>87230.513999999996</c:v>
                </c:pt>
                <c:pt idx="132">
                  <c:v>88883.292000000001</c:v>
                </c:pt>
                <c:pt idx="133">
                  <c:v>93527.225999999995</c:v>
                </c:pt>
                <c:pt idx="134">
                  <c:v>99279.426000000007</c:v>
                </c:pt>
                <c:pt idx="135">
                  <c:v>96186.797999999995</c:v>
                </c:pt>
                <c:pt idx="136">
                  <c:v>102752.64599999999</c:v>
                </c:pt>
                <c:pt idx="137">
                  <c:v>98672.016000000003</c:v>
                </c:pt>
                <c:pt idx="138">
                  <c:v>102270.93</c:v>
                </c:pt>
                <c:pt idx="139">
                  <c:v>104769.03600000001</c:v>
                </c:pt>
                <c:pt idx="140">
                  <c:v>100137.88800000001</c:v>
                </c:pt>
                <c:pt idx="141">
                  <c:v>103409.83800000002</c:v>
                </c:pt>
                <c:pt idx="142">
                  <c:v>99645.437999999995</c:v>
                </c:pt>
                <c:pt idx="143">
                  <c:v>93612.203999999998</c:v>
                </c:pt>
                <c:pt idx="144">
                  <c:v>98474.423999999999</c:v>
                </c:pt>
                <c:pt idx="145">
                  <c:v>100455.79200000002</c:v>
                </c:pt>
                <c:pt idx="146">
                  <c:v>102869.712</c:v>
                </c:pt>
                <c:pt idx="147">
                  <c:v>104407.806</c:v>
                </c:pt>
                <c:pt idx="148">
                  <c:v>104641.21800000001</c:v>
                </c:pt>
                <c:pt idx="149">
                  <c:v>101678.72400000002</c:v>
                </c:pt>
                <c:pt idx="150">
                  <c:v>105669.204</c:v>
                </c:pt>
                <c:pt idx="151">
                  <c:v>107296.17</c:v>
                </c:pt>
                <c:pt idx="152">
                  <c:v>100419.03</c:v>
                </c:pt>
                <c:pt idx="153">
                  <c:v>102926.11199999999</c:v>
                </c:pt>
                <c:pt idx="154">
                  <c:v>101138.766</c:v>
                </c:pt>
                <c:pt idx="155">
                  <c:v>90156.498000000007</c:v>
                </c:pt>
                <c:pt idx="156">
                  <c:v>91214.202000000005</c:v>
                </c:pt>
                <c:pt idx="157">
                  <c:v>90691.680000000008</c:v>
                </c:pt>
                <c:pt idx="158">
                  <c:v>98949.935999999987</c:v>
                </c:pt>
                <c:pt idx="159">
                  <c:v>94313.430000000008</c:v>
                </c:pt>
                <c:pt idx="160">
                  <c:v>99407.394</c:v>
                </c:pt>
                <c:pt idx="161">
                  <c:v>94518.33600000001</c:v>
                </c:pt>
                <c:pt idx="162">
                  <c:v>96588.858000000007</c:v>
                </c:pt>
                <c:pt idx="163">
                  <c:v>95988.617999999988</c:v>
                </c:pt>
                <c:pt idx="164">
                  <c:v>94713.437999999995</c:v>
                </c:pt>
                <c:pt idx="165">
                  <c:v>99816.72</c:v>
                </c:pt>
                <c:pt idx="166">
                  <c:v>96743.069999999992</c:v>
                </c:pt>
                <c:pt idx="167">
                  <c:v>89975.981999999989</c:v>
                </c:pt>
                <c:pt idx="168">
                  <c:v>88698.72</c:v>
                </c:pt>
                <c:pt idx="169">
                  <c:v>87920.418000000005</c:v>
                </c:pt>
                <c:pt idx="170">
                  <c:v>94157.478000000003</c:v>
                </c:pt>
                <c:pt idx="171">
                  <c:v>88753.224000000002</c:v>
                </c:pt>
                <c:pt idx="172">
                  <c:v>89946.504000000001</c:v>
                </c:pt>
                <c:pt idx="173">
                  <c:v>89196.678</c:v>
                </c:pt>
                <c:pt idx="174">
                  <c:v>90636.450000000012</c:v>
                </c:pt>
                <c:pt idx="175">
                  <c:v>90121.518000000011</c:v>
                </c:pt>
                <c:pt idx="176">
                  <c:v>88627.055999999997</c:v>
                </c:pt>
                <c:pt idx="177">
                  <c:v>90583.656000000003</c:v>
                </c:pt>
                <c:pt idx="178">
                  <c:v>88057.572</c:v>
                </c:pt>
                <c:pt idx="179">
                  <c:v>83790.834000000003</c:v>
                </c:pt>
                <c:pt idx="180">
                  <c:v>82117.266000000003</c:v>
                </c:pt>
                <c:pt idx="181">
                  <c:v>83216.682000000001</c:v>
                </c:pt>
                <c:pt idx="182">
                  <c:v>83852.592000000004</c:v>
                </c:pt>
                <c:pt idx="183">
                  <c:v>81775.62</c:v>
                </c:pt>
                <c:pt idx="184">
                  <c:v>86113.955999999991</c:v>
                </c:pt>
                <c:pt idx="185">
                  <c:v>82441.001999999993</c:v>
                </c:pt>
                <c:pt idx="186">
                  <c:v>85037.525999999998</c:v>
                </c:pt>
                <c:pt idx="187">
                  <c:v>85956.09599999999</c:v>
                </c:pt>
                <c:pt idx="188">
                  <c:v>81090.69</c:v>
                </c:pt>
                <c:pt idx="189">
                  <c:v>84444.966</c:v>
                </c:pt>
                <c:pt idx="190">
                  <c:v>86007.450000000012</c:v>
                </c:pt>
                <c:pt idx="191">
                  <c:v>79941.75</c:v>
                </c:pt>
                <c:pt idx="192">
                  <c:v>81749.285999999993</c:v>
                </c:pt>
                <c:pt idx="193">
                  <c:v>81782.004000000001</c:v>
                </c:pt>
                <c:pt idx="194">
                  <c:v>87716.316000000006</c:v>
                </c:pt>
                <c:pt idx="195">
                  <c:v>83544.527999999991</c:v>
                </c:pt>
                <c:pt idx="196">
                  <c:v>90022.391999999993</c:v>
                </c:pt>
                <c:pt idx="197">
                  <c:v>85784.603999999992</c:v>
                </c:pt>
                <c:pt idx="198">
                  <c:v>88282.092000000004</c:v>
                </c:pt>
                <c:pt idx="199">
                  <c:v>89231.15400000001</c:v>
                </c:pt>
                <c:pt idx="200">
                  <c:v>86200.187999999995</c:v>
                </c:pt>
                <c:pt idx="201">
                  <c:v>90860.567999999999</c:v>
                </c:pt>
                <c:pt idx="202">
                  <c:v>91167.305999999997</c:v>
                </c:pt>
                <c:pt idx="203">
                  <c:v>83808.534</c:v>
                </c:pt>
                <c:pt idx="204">
                  <c:v>86908.74</c:v>
                </c:pt>
                <c:pt idx="205">
                  <c:v>86830.11</c:v>
                </c:pt>
                <c:pt idx="206">
                  <c:v>94334.952000000005</c:v>
                </c:pt>
                <c:pt idx="207">
                  <c:v>91039.284</c:v>
                </c:pt>
                <c:pt idx="208">
                  <c:v>96462.486000000004</c:v>
                </c:pt>
                <c:pt idx="209">
                  <c:v>92624.61</c:v>
                </c:pt>
                <c:pt idx="210">
                  <c:v>98179.433999999994</c:v>
                </c:pt>
                <c:pt idx="211">
                  <c:v>97158.941999999995</c:v>
                </c:pt>
                <c:pt idx="212">
                  <c:v>92581.967999999993</c:v>
                </c:pt>
                <c:pt idx="213">
                  <c:v>100819.13999999998</c:v>
                </c:pt>
                <c:pt idx="214">
                  <c:v>100780.512</c:v>
                </c:pt>
                <c:pt idx="215">
                  <c:v>92924.268000000011</c:v>
                </c:pt>
                <c:pt idx="216">
                  <c:v>96278.790000000008</c:v>
                </c:pt>
                <c:pt idx="217">
                  <c:v>95177.676000000007</c:v>
                </c:pt>
                <c:pt idx="218">
                  <c:v>100817.568</c:v>
                </c:pt>
                <c:pt idx="219">
                  <c:v>98650.008000000002</c:v>
                </c:pt>
                <c:pt idx="220">
                  <c:v>105681.99600000001</c:v>
                </c:pt>
                <c:pt idx="221">
                  <c:v>100284.444</c:v>
                </c:pt>
                <c:pt idx="222">
                  <c:v>107976.342</c:v>
                </c:pt>
                <c:pt idx="223">
                  <c:v>104163.85800000001</c:v>
                </c:pt>
                <c:pt idx="224">
                  <c:v>100907.07</c:v>
                </c:pt>
                <c:pt idx="225">
                  <c:v>107061.65400000001</c:v>
                </c:pt>
                <c:pt idx="226">
                  <c:v>106888.44600000001</c:v>
                </c:pt>
                <c:pt idx="227">
                  <c:v>97622.28</c:v>
                </c:pt>
                <c:pt idx="228">
                  <c:v>100682.454</c:v>
                </c:pt>
                <c:pt idx="229">
                  <c:v>103313.886</c:v>
                </c:pt>
                <c:pt idx="230">
                  <c:v>107749.29000000001</c:v>
                </c:pt>
                <c:pt idx="231">
                  <c:v>101081.51400000001</c:v>
                </c:pt>
                <c:pt idx="232">
                  <c:v>107444.29200000002</c:v>
                </c:pt>
                <c:pt idx="233">
                  <c:v>108100.902</c:v>
                </c:pt>
                <c:pt idx="234">
                  <c:v>112715.99400000001</c:v>
                </c:pt>
                <c:pt idx="235">
                  <c:v>113397.84599999999</c:v>
                </c:pt>
                <c:pt idx="236">
                  <c:v>111234.58200000001</c:v>
                </c:pt>
                <c:pt idx="237">
                  <c:v>113734.308</c:v>
                </c:pt>
                <c:pt idx="238">
                  <c:v>115611.894</c:v>
                </c:pt>
                <c:pt idx="239">
                  <c:v>105689.72400000002</c:v>
                </c:pt>
                <c:pt idx="240">
                  <c:v>109061.77799999999</c:v>
                </c:pt>
                <c:pt idx="241">
                  <c:v>107171.226</c:v>
                </c:pt>
                <c:pt idx="242">
                  <c:v>123295.59</c:v>
                </c:pt>
                <c:pt idx="243">
                  <c:v>115064.17800000001</c:v>
                </c:pt>
                <c:pt idx="244">
                  <c:v>120645.954</c:v>
                </c:pt>
                <c:pt idx="245">
                  <c:v>119410.17</c:v>
                </c:pt>
                <c:pt idx="246">
                  <c:v>118034.08800000002</c:v>
                </c:pt>
                <c:pt idx="247">
                  <c:v>123490.908</c:v>
                </c:pt>
                <c:pt idx="248">
                  <c:v>119817.57</c:v>
                </c:pt>
                <c:pt idx="249">
                  <c:v>121722.48000000001</c:v>
                </c:pt>
                <c:pt idx="250">
                  <c:v>123136.08</c:v>
                </c:pt>
                <c:pt idx="251">
                  <c:v>111069.64199999999</c:v>
                </c:pt>
                <c:pt idx="252">
                  <c:v>112099.21800000001</c:v>
                </c:pt>
                <c:pt idx="253">
                  <c:v>113554.45199999999</c:v>
                </c:pt>
                <c:pt idx="254">
                  <c:v>121624.17600000001</c:v>
                </c:pt>
                <c:pt idx="255">
                  <c:v>121303.406</c:v>
                </c:pt>
                <c:pt idx="256">
                  <c:v>127215.106</c:v>
                </c:pt>
                <c:pt idx="257">
                  <c:v>126838.448</c:v>
                </c:pt>
                <c:pt idx="258">
                  <c:v>126309</c:v>
                </c:pt>
                <c:pt idx="259">
                  <c:v>129768.63</c:v>
                </c:pt>
                <c:pt idx="260">
                  <c:v>134126.70000000001</c:v>
                </c:pt>
                <c:pt idx="261">
                  <c:v>132805.484</c:v>
                </c:pt>
                <c:pt idx="262">
                  <c:v>134482.53400000001</c:v>
                </c:pt>
                <c:pt idx="263">
                  <c:v>138070.00599999999</c:v>
                </c:pt>
              </c:numCache>
            </c:numRef>
          </c:val>
          <c:smooth val="0"/>
          <c:extLst>
            <c:ext xmlns:c16="http://schemas.microsoft.com/office/drawing/2014/chart" uri="{C3380CC4-5D6E-409C-BE32-E72D297353CC}">
              <c16:uniqueId val="{00000000-4538-414A-B8CA-C575CE790D84}"/>
            </c:ext>
          </c:extLst>
        </c:ser>
        <c:dLbls>
          <c:showLegendKey val="0"/>
          <c:showVal val="0"/>
          <c:showCatName val="0"/>
          <c:showSerName val="0"/>
          <c:showPercent val="0"/>
          <c:showBubbleSize val="0"/>
        </c:dLbls>
        <c:smooth val="0"/>
        <c:axId val="432640000"/>
        <c:axId val="432641536"/>
      </c:lineChart>
      <c:dateAx>
        <c:axId val="432640000"/>
        <c:scaling>
          <c:orientation val="minMax"/>
          <c:min val="37043"/>
        </c:scaling>
        <c:delete val="0"/>
        <c:axPos val="b"/>
        <c:numFmt formatCode="mmm\-yy"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chemeClr val="tx1"/>
                </a:solidFill>
                <a:latin typeface="+mn-lt"/>
                <a:ea typeface="+mn-ea"/>
                <a:cs typeface="+mn-cs"/>
              </a:defRPr>
            </a:pPr>
            <a:endParaRPr lang="en-US"/>
          </a:p>
        </c:txPr>
        <c:crossAx val="432641536"/>
        <c:crosses val="autoZero"/>
        <c:auto val="1"/>
        <c:lblOffset val="100"/>
        <c:baseTimeUnit val="months"/>
        <c:majorUnit val="1"/>
        <c:majorTimeUnit val="years"/>
      </c:dateAx>
      <c:valAx>
        <c:axId val="432641536"/>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AU"/>
                  <a:t>Employees</a:t>
                </a:r>
              </a:p>
            </c:rich>
          </c:tx>
          <c:layout>
            <c:manualLayout>
              <c:xMode val="edge"/>
              <c:yMode val="edge"/>
              <c:x val="1.3965871324767322E-2"/>
              <c:y val="0.4718882462148643"/>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32640000"/>
        <c:crosses val="autoZero"/>
        <c:crossBetween val="between"/>
      </c:valAx>
      <c:spPr>
        <a:solidFill>
          <a:schemeClr val="bg1"/>
        </a:solidFill>
        <a:ln>
          <a:noFill/>
        </a:ln>
        <a:effectLst/>
      </c:spPr>
    </c:plotArea>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pPr>
      <a:endParaRPr lang="en-US"/>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AU"/>
              <a:t>Total Exploration Employment</a:t>
            </a:r>
          </a:p>
          <a:p>
            <a:pPr marL="0" marR="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AU" sz="1100" b="1" i="0" baseline="0">
                <a:effectLst/>
              </a:rPr>
              <a:t>FTEs</a:t>
            </a:r>
            <a:endParaRPr lang="en-AU" sz="1100"/>
          </a:p>
        </c:rich>
      </c:tx>
      <c:overlay val="0"/>
      <c:spPr>
        <a:noFill/>
        <a:ln>
          <a:noFill/>
        </a:ln>
        <a:effectLst/>
      </c:spPr>
      <c:txPr>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9.1818916047775243E-2"/>
          <c:y val="0.14685630699324642"/>
          <c:w val="0.88748859880886988"/>
          <c:h val="0.69105225483178234"/>
        </c:manualLayout>
      </c:layout>
      <c:lineChart>
        <c:grouping val="standard"/>
        <c:varyColors val="0"/>
        <c:ser>
          <c:idx val="0"/>
          <c:order val="0"/>
          <c:tx>
            <c:v>FTEs</c:v>
          </c:tx>
          <c:spPr>
            <a:ln w="28575" cap="rnd" cmpd="sng" algn="ctr">
              <a:solidFill>
                <a:schemeClr val="accent2">
                  <a:shade val="95000"/>
                  <a:satMod val="105000"/>
                </a:schemeClr>
              </a:solidFill>
              <a:prstDash val="solid"/>
              <a:round/>
            </a:ln>
            <a:effectLst/>
          </c:spPr>
          <c:marker>
            <c:symbol val="none"/>
          </c:marker>
          <c:dPt>
            <c:idx val="255"/>
            <c:bubble3D val="0"/>
            <c:spPr>
              <a:ln w="28575" cap="rnd" cmpd="sng" algn="ctr">
                <a:solidFill>
                  <a:schemeClr val="accent5"/>
                </a:solidFill>
                <a:prstDash val="solid"/>
                <a:round/>
              </a:ln>
              <a:effectLst/>
            </c:spPr>
            <c:extLst>
              <c:ext xmlns:c16="http://schemas.microsoft.com/office/drawing/2014/chart" uri="{C3380CC4-5D6E-409C-BE32-E72D297353CC}">
                <c16:uniqueId val="{00000000-6EE2-443B-9288-C98E925FF8E8}"/>
              </c:ext>
            </c:extLst>
          </c:dPt>
          <c:dPt>
            <c:idx val="256"/>
            <c:bubble3D val="0"/>
            <c:spPr>
              <a:ln w="28575" cap="rnd" cmpd="sng" algn="ctr">
                <a:solidFill>
                  <a:schemeClr val="accent5"/>
                </a:solidFill>
                <a:prstDash val="solid"/>
                <a:round/>
              </a:ln>
              <a:effectLst/>
            </c:spPr>
            <c:extLst>
              <c:ext xmlns:c16="http://schemas.microsoft.com/office/drawing/2014/chart" uri="{C3380CC4-5D6E-409C-BE32-E72D297353CC}">
                <c16:uniqueId val="{00000001-6EE2-443B-9288-C98E925FF8E8}"/>
              </c:ext>
            </c:extLst>
          </c:dPt>
          <c:dPt>
            <c:idx val="257"/>
            <c:bubble3D val="0"/>
            <c:spPr>
              <a:ln w="28575" cap="rnd" cmpd="sng" algn="ctr">
                <a:solidFill>
                  <a:schemeClr val="accent5"/>
                </a:solidFill>
                <a:prstDash val="solid"/>
                <a:round/>
              </a:ln>
              <a:effectLst/>
            </c:spPr>
            <c:extLst>
              <c:ext xmlns:c16="http://schemas.microsoft.com/office/drawing/2014/chart" uri="{C3380CC4-5D6E-409C-BE32-E72D297353CC}">
                <c16:uniqueId val="{00000002-6EE2-443B-9288-C98E925FF8E8}"/>
              </c:ext>
            </c:extLst>
          </c:dPt>
          <c:dPt>
            <c:idx val="258"/>
            <c:bubble3D val="0"/>
            <c:spPr>
              <a:ln w="28575" cap="rnd" cmpd="sng" algn="ctr">
                <a:solidFill>
                  <a:schemeClr val="accent5"/>
                </a:solidFill>
                <a:prstDash val="solid"/>
                <a:round/>
              </a:ln>
              <a:effectLst/>
            </c:spPr>
            <c:extLst>
              <c:ext xmlns:c16="http://schemas.microsoft.com/office/drawing/2014/chart" uri="{C3380CC4-5D6E-409C-BE32-E72D297353CC}">
                <c16:uniqueId val="{00000003-6EE2-443B-9288-C98E925FF8E8}"/>
              </c:ext>
            </c:extLst>
          </c:dPt>
          <c:dPt>
            <c:idx val="259"/>
            <c:bubble3D val="0"/>
            <c:spPr>
              <a:ln w="28575" cap="rnd" cmpd="sng" algn="ctr">
                <a:solidFill>
                  <a:schemeClr val="accent5"/>
                </a:solidFill>
                <a:prstDash val="solid"/>
                <a:round/>
              </a:ln>
              <a:effectLst/>
            </c:spPr>
            <c:extLst>
              <c:ext xmlns:c16="http://schemas.microsoft.com/office/drawing/2014/chart" uri="{C3380CC4-5D6E-409C-BE32-E72D297353CC}">
                <c16:uniqueId val="{00000004-6EE2-443B-9288-C98E925FF8E8}"/>
              </c:ext>
            </c:extLst>
          </c:dPt>
          <c:dPt>
            <c:idx val="260"/>
            <c:bubble3D val="0"/>
            <c:spPr>
              <a:ln w="28575" cap="rnd" cmpd="sng" algn="ctr">
                <a:solidFill>
                  <a:schemeClr val="accent5"/>
                </a:solidFill>
                <a:prstDash val="solid"/>
                <a:round/>
              </a:ln>
              <a:effectLst/>
            </c:spPr>
            <c:extLst>
              <c:ext xmlns:c16="http://schemas.microsoft.com/office/drawing/2014/chart" uri="{C3380CC4-5D6E-409C-BE32-E72D297353CC}">
                <c16:uniqueId val="{00000005-6EE2-443B-9288-C98E925FF8E8}"/>
              </c:ext>
            </c:extLst>
          </c:dPt>
          <c:dPt>
            <c:idx val="261"/>
            <c:bubble3D val="0"/>
            <c:spPr>
              <a:ln w="28575" cap="rnd" cmpd="sng" algn="ctr">
                <a:solidFill>
                  <a:schemeClr val="accent5"/>
                </a:solidFill>
                <a:prstDash val="solid"/>
                <a:round/>
              </a:ln>
              <a:effectLst/>
            </c:spPr>
            <c:extLst>
              <c:ext xmlns:c16="http://schemas.microsoft.com/office/drawing/2014/chart" uri="{C3380CC4-5D6E-409C-BE32-E72D297353CC}">
                <c16:uniqueId val="{00000007-6EE2-443B-9288-C98E925FF8E8}"/>
              </c:ext>
            </c:extLst>
          </c:dPt>
          <c:dPt>
            <c:idx val="262"/>
            <c:bubble3D val="0"/>
            <c:spPr>
              <a:ln w="28575" cap="rnd" cmpd="sng" algn="ctr">
                <a:solidFill>
                  <a:schemeClr val="accent5"/>
                </a:solidFill>
                <a:prstDash val="solid"/>
                <a:round/>
              </a:ln>
              <a:effectLst/>
            </c:spPr>
            <c:extLst>
              <c:ext xmlns:c16="http://schemas.microsoft.com/office/drawing/2014/chart" uri="{C3380CC4-5D6E-409C-BE32-E72D297353CC}">
                <c16:uniqueId val="{00000006-6EE2-443B-9288-C98E925FF8E8}"/>
              </c:ext>
            </c:extLst>
          </c:dPt>
          <c:dPt>
            <c:idx val="263"/>
            <c:bubble3D val="0"/>
            <c:spPr>
              <a:ln w="28575" cap="rnd" cmpd="sng" algn="ctr">
                <a:solidFill>
                  <a:schemeClr val="accent5"/>
                </a:solidFill>
                <a:prstDash val="solid"/>
                <a:round/>
              </a:ln>
              <a:effectLst/>
            </c:spPr>
            <c:extLst>
              <c:ext xmlns:c16="http://schemas.microsoft.com/office/drawing/2014/chart" uri="{C3380CC4-5D6E-409C-BE32-E72D297353CC}">
                <c16:uniqueId val="{00000008-6EE2-443B-9288-C98E925FF8E8}"/>
              </c:ext>
            </c:extLst>
          </c:dPt>
          <c:cat>
            <c:numRef>
              <c:f>'Mining Employment Report Period'!$B$9:$SY$9</c:f>
              <c:numCache>
                <c:formatCode>mmm\-yy</c:formatCode>
                <c:ptCount val="51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44713</c:v>
                </c:pt>
                <c:pt idx="256">
                  <c:v>44805</c:v>
                </c:pt>
                <c:pt idx="257">
                  <c:v>44896</c:v>
                </c:pt>
                <c:pt idx="258">
                  <c:v>44986</c:v>
                </c:pt>
                <c:pt idx="259">
                  <c:v>45078</c:v>
                </c:pt>
                <c:pt idx="260">
                  <c:v>45170</c:v>
                </c:pt>
                <c:pt idx="261">
                  <c:v>45261</c:v>
                </c:pt>
                <c:pt idx="262">
                  <c:v>45352</c:v>
                </c:pt>
                <c:pt idx="263">
                  <c:v>45444</c:v>
                </c:pt>
              </c:numCache>
            </c:numRef>
          </c:cat>
          <c:val>
            <c:numRef>
              <c:f>'Mining Employment Report Period'!$B$84:$SY$84</c:f>
              <c:numCache>
                <c:formatCode>#,##0</c:formatCode>
                <c:ptCount val="518"/>
                <c:pt idx="0">
                  <c:v>309.96600000000001</c:v>
                </c:pt>
                <c:pt idx="1">
                  <c:v>465.74399999999997</c:v>
                </c:pt>
                <c:pt idx="2">
                  <c:v>495.18600000000004</c:v>
                </c:pt>
                <c:pt idx="3">
                  <c:v>622.53600000000006</c:v>
                </c:pt>
                <c:pt idx="4">
                  <c:v>616.35599999999999</c:v>
                </c:pt>
                <c:pt idx="5">
                  <c:v>675.97799999999995</c:v>
                </c:pt>
                <c:pt idx="6">
                  <c:v>714.64200000000005</c:v>
                </c:pt>
                <c:pt idx="7">
                  <c:v>662.41800000000001</c:v>
                </c:pt>
                <c:pt idx="8">
                  <c:v>740.23800000000006</c:v>
                </c:pt>
                <c:pt idx="9">
                  <c:v>768.96600000000001</c:v>
                </c:pt>
                <c:pt idx="10">
                  <c:v>664.41</c:v>
                </c:pt>
                <c:pt idx="11">
                  <c:v>515.02800000000002</c:v>
                </c:pt>
                <c:pt idx="12">
                  <c:v>323.274</c:v>
                </c:pt>
                <c:pt idx="13">
                  <c:v>465.66600000000005</c:v>
                </c:pt>
                <c:pt idx="14">
                  <c:v>410.70000000000005</c:v>
                </c:pt>
                <c:pt idx="15">
                  <c:v>422.82</c:v>
                </c:pt>
                <c:pt idx="16">
                  <c:v>432.83399999999995</c:v>
                </c:pt>
                <c:pt idx="17">
                  <c:v>336.95400000000001</c:v>
                </c:pt>
                <c:pt idx="18">
                  <c:v>524.28600000000006</c:v>
                </c:pt>
                <c:pt idx="19">
                  <c:v>526.548</c:v>
                </c:pt>
                <c:pt idx="20">
                  <c:v>499.56000000000006</c:v>
                </c:pt>
                <c:pt idx="21">
                  <c:v>619.71600000000001</c:v>
                </c:pt>
                <c:pt idx="22">
                  <c:v>584.47799999999995</c:v>
                </c:pt>
                <c:pt idx="23">
                  <c:v>423.76199999999994</c:v>
                </c:pt>
                <c:pt idx="24">
                  <c:v>285.714</c:v>
                </c:pt>
                <c:pt idx="25">
                  <c:v>441.91800000000001</c:v>
                </c:pt>
                <c:pt idx="26">
                  <c:v>461.58000000000004</c:v>
                </c:pt>
                <c:pt idx="27">
                  <c:v>449.286</c:v>
                </c:pt>
                <c:pt idx="28">
                  <c:v>559.73400000000004</c:v>
                </c:pt>
                <c:pt idx="29">
                  <c:v>573.98400000000004</c:v>
                </c:pt>
                <c:pt idx="30">
                  <c:v>577.96800000000007</c:v>
                </c:pt>
                <c:pt idx="31">
                  <c:v>563.44200000000001</c:v>
                </c:pt>
                <c:pt idx="32">
                  <c:v>552.822</c:v>
                </c:pt>
                <c:pt idx="33">
                  <c:v>470.01599999999996</c:v>
                </c:pt>
                <c:pt idx="34">
                  <c:v>517.53600000000006</c:v>
                </c:pt>
                <c:pt idx="35">
                  <c:v>381.80399999999997</c:v>
                </c:pt>
                <c:pt idx="36">
                  <c:v>388.99799999999999</c:v>
                </c:pt>
                <c:pt idx="37">
                  <c:v>447.37199999999996</c:v>
                </c:pt>
                <c:pt idx="38">
                  <c:v>427.49399999999997</c:v>
                </c:pt>
                <c:pt idx="39">
                  <c:v>543.31799999999998</c:v>
                </c:pt>
                <c:pt idx="40">
                  <c:v>695.56200000000001</c:v>
                </c:pt>
                <c:pt idx="41">
                  <c:v>735.774</c:v>
                </c:pt>
                <c:pt idx="42">
                  <c:v>733.21199999999999</c:v>
                </c:pt>
                <c:pt idx="43">
                  <c:v>819.96</c:v>
                </c:pt>
                <c:pt idx="44">
                  <c:v>918.19200000000001</c:v>
                </c:pt>
                <c:pt idx="45">
                  <c:v>870.24599999999998</c:v>
                </c:pt>
                <c:pt idx="46">
                  <c:v>958.92599999999993</c:v>
                </c:pt>
                <c:pt idx="47">
                  <c:v>640.13400000000001</c:v>
                </c:pt>
                <c:pt idx="48">
                  <c:v>567.41999999999996</c:v>
                </c:pt>
                <c:pt idx="49">
                  <c:v>678.54599999999994</c:v>
                </c:pt>
                <c:pt idx="50">
                  <c:v>831.82799999999997</c:v>
                </c:pt>
                <c:pt idx="51">
                  <c:v>797.18399999999997</c:v>
                </c:pt>
                <c:pt idx="52">
                  <c:v>917.96399999999994</c:v>
                </c:pt>
                <c:pt idx="53">
                  <c:v>756.37800000000004</c:v>
                </c:pt>
                <c:pt idx="54">
                  <c:v>917.88599999999997</c:v>
                </c:pt>
                <c:pt idx="55">
                  <c:v>895.51799999999992</c:v>
                </c:pt>
                <c:pt idx="56">
                  <c:v>968.09999999999991</c:v>
                </c:pt>
                <c:pt idx="57">
                  <c:v>906.82799999999997</c:v>
                </c:pt>
                <c:pt idx="58">
                  <c:v>917.18399999999997</c:v>
                </c:pt>
                <c:pt idx="59">
                  <c:v>649.16399999999999</c:v>
                </c:pt>
                <c:pt idx="60">
                  <c:v>556.60799999999995</c:v>
                </c:pt>
                <c:pt idx="61">
                  <c:v>672.83399999999995</c:v>
                </c:pt>
                <c:pt idx="62">
                  <c:v>721.28399999999999</c:v>
                </c:pt>
                <c:pt idx="63">
                  <c:v>787.72800000000007</c:v>
                </c:pt>
                <c:pt idx="64">
                  <c:v>909.88799999999992</c:v>
                </c:pt>
                <c:pt idx="65">
                  <c:v>1103.316</c:v>
                </c:pt>
                <c:pt idx="66">
                  <c:v>1166.9639999999999</c:v>
                </c:pt>
                <c:pt idx="67">
                  <c:v>1120.77</c:v>
                </c:pt>
                <c:pt idx="68">
                  <c:v>1294.4639999999999</c:v>
                </c:pt>
                <c:pt idx="69">
                  <c:v>1380.9479999999999</c:v>
                </c:pt>
                <c:pt idx="70">
                  <c:v>1302.702</c:v>
                </c:pt>
                <c:pt idx="71">
                  <c:v>839.23200000000008</c:v>
                </c:pt>
                <c:pt idx="72">
                  <c:v>702.27</c:v>
                </c:pt>
                <c:pt idx="73">
                  <c:v>968.24399999999991</c:v>
                </c:pt>
                <c:pt idx="74">
                  <c:v>1073.454</c:v>
                </c:pt>
                <c:pt idx="75">
                  <c:v>1192.4939999999999</c:v>
                </c:pt>
                <c:pt idx="76">
                  <c:v>1597.0439999999999</c:v>
                </c:pt>
                <c:pt idx="77">
                  <c:v>1776.0359999999998</c:v>
                </c:pt>
                <c:pt idx="78">
                  <c:v>1651.5479999999998</c:v>
                </c:pt>
                <c:pt idx="79">
                  <c:v>1722.6959999999999</c:v>
                </c:pt>
                <c:pt idx="80">
                  <c:v>1969.248</c:v>
                </c:pt>
                <c:pt idx="81">
                  <c:v>2095.3200000000002</c:v>
                </c:pt>
                <c:pt idx="82">
                  <c:v>2194.7339999999999</c:v>
                </c:pt>
                <c:pt idx="83">
                  <c:v>1619.1000000000001</c:v>
                </c:pt>
                <c:pt idx="84">
                  <c:v>1356.3600000000001</c:v>
                </c:pt>
                <c:pt idx="85">
                  <c:v>1930.6260000000002</c:v>
                </c:pt>
                <c:pt idx="86">
                  <c:v>2214.36</c:v>
                </c:pt>
                <c:pt idx="87">
                  <c:v>2418.33</c:v>
                </c:pt>
                <c:pt idx="88">
                  <c:v>2414.652</c:v>
                </c:pt>
                <c:pt idx="89">
                  <c:v>2639.0160000000001</c:v>
                </c:pt>
                <c:pt idx="90">
                  <c:v>3014.7719999999999</c:v>
                </c:pt>
                <c:pt idx="91">
                  <c:v>3204.06</c:v>
                </c:pt>
                <c:pt idx="92">
                  <c:v>3122.8679999999995</c:v>
                </c:pt>
                <c:pt idx="93">
                  <c:v>3210.1680000000001</c:v>
                </c:pt>
                <c:pt idx="94">
                  <c:v>2910.2939999999999</c:v>
                </c:pt>
                <c:pt idx="95">
                  <c:v>2247.654</c:v>
                </c:pt>
                <c:pt idx="96">
                  <c:v>1275.3240000000001</c:v>
                </c:pt>
                <c:pt idx="97">
                  <c:v>1642.1640000000002</c:v>
                </c:pt>
                <c:pt idx="98">
                  <c:v>1834.182</c:v>
                </c:pt>
                <c:pt idx="99">
                  <c:v>1965.8999999999999</c:v>
                </c:pt>
                <c:pt idx="100">
                  <c:v>2258.6579999999999</c:v>
                </c:pt>
                <c:pt idx="101">
                  <c:v>2330.0460000000003</c:v>
                </c:pt>
                <c:pt idx="102">
                  <c:v>2673.7919999999999</c:v>
                </c:pt>
                <c:pt idx="103">
                  <c:v>2666.364</c:v>
                </c:pt>
                <c:pt idx="104">
                  <c:v>2793.9780000000001</c:v>
                </c:pt>
                <c:pt idx="105">
                  <c:v>3088.1400000000003</c:v>
                </c:pt>
                <c:pt idx="106">
                  <c:v>3087.9539999999997</c:v>
                </c:pt>
                <c:pt idx="107">
                  <c:v>2459.4780000000001</c:v>
                </c:pt>
                <c:pt idx="108">
                  <c:v>1973.0099999999998</c:v>
                </c:pt>
                <c:pt idx="109">
                  <c:v>2514.75</c:v>
                </c:pt>
                <c:pt idx="110">
                  <c:v>2940.3420000000001</c:v>
                </c:pt>
                <c:pt idx="111">
                  <c:v>3162.8759999999997</c:v>
                </c:pt>
                <c:pt idx="112">
                  <c:v>3395.3759999999997</c:v>
                </c:pt>
                <c:pt idx="113">
                  <c:v>3498.7259999999997</c:v>
                </c:pt>
                <c:pt idx="114">
                  <c:v>3669.6780000000003</c:v>
                </c:pt>
                <c:pt idx="115">
                  <c:v>3649.3140000000003</c:v>
                </c:pt>
                <c:pt idx="116">
                  <c:v>3620.7060000000001</c:v>
                </c:pt>
                <c:pt idx="117">
                  <c:v>3724.4700000000003</c:v>
                </c:pt>
                <c:pt idx="118">
                  <c:v>3977.7420000000002</c:v>
                </c:pt>
                <c:pt idx="119">
                  <c:v>2947.41</c:v>
                </c:pt>
                <c:pt idx="120">
                  <c:v>2234.8559999999998</c:v>
                </c:pt>
                <c:pt idx="121">
                  <c:v>2532.5819999999999</c:v>
                </c:pt>
                <c:pt idx="122">
                  <c:v>3305.7719999999999</c:v>
                </c:pt>
                <c:pt idx="123">
                  <c:v>3601.5659999999998</c:v>
                </c:pt>
                <c:pt idx="124">
                  <c:v>3909.8820000000005</c:v>
                </c:pt>
                <c:pt idx="125">
                  <c:v>4022.4180000000001</c:v>
                </c:pt>
                <c:pt idx="126">
                  <c:v>3974.7179999999998</c:v>
                </c:pt>
                <c:pt idx="127">
                  <c:v>4144.7939999999999</c:v>
                </c:pt>
                <c:pt idx="128">
                  <c:v>4204.8779999999997</c:v>
                </c:pt>
                <c:pt idx="129">
                  <c:v>4445.2559999999994</c:v>
                </c:pt>
                <c:pt idx="130">
                  <c:v>4526.7359999999999</c:v>
                </c:pt>
                <c:pt idx="131">
                  <c:v>3032.2799999999997</c:v>
                </c:pt>
                <c:pt idx="132">
                  <c:v>2302.752</c:v>
                </c:pt>
                <c:pt idx="133">
                  <c:v>3984.6840000000002</c:v>
                </c:pt>
                <c:pt idx="134">
                  <c:v>4077.9659999999994</c:v>
                </c:pt>
                <c:pt idx="135">
                  <c:v>4216.0619999999999</c:v>
                </c:pt>
                <c:pt idx="136">
                  <c:v>4397.8559999999998</c:v>
                </c:pt>
                <c:pt idx="137">
                  <c:v>4138.6679999999997</c:v>
                </c:pt>
                <c:pt idx="138">
                  <c:v>4025.13</c:v>
                </c:pt>
                <c:pt idx="139">
                  <c:v>3924.9839999999999</c:v>
                </c:pt>
                <c:pt idx="140">
                  <c:v>3412.5780000000004</c:v>
                </c:pt>
                <c:pt idx="141">
                  <c:v>3193.7999999999997</c:v>
                </c:pt>
                <c:pt idx="142">
                  <c:v>3037.6260000000002</c:v>
                </c:pt>
                <c:pt idx="143">
                  <c:v>1878.69</c:v>
                </c:pt>
                <c:pt idx="144">
                  <c:v>1360.386</c:v>
                </c:pt>
                <c:pt idx="145">
                  <c:v>2030.9339999999997</c:v>
                </c:pt>
                <c:pt idx="146">
                  <c:v>2236.038</c:v>
                </c:pt>
                <c:pt idx="147">
                  <c:v>2586.0240000000003</c:v>
                </c:pt>
                <c:pt idx="148">
                  <c:v>2660.0460000000003</c:v>
                </c:pt>
                <c:pt idx="149">
                  <c:v>2520.174</c:v>
                </c:pt>
                <c:pt idx="150">
                  <c:v>2565.096</c:v>
                </c:pt>
                <c:pt idx="151">
                  <c:v>2614.8959999999997</c:v>
                </c:pt>
                <c:pt idx="152">
                  <c:v>2840.34</c:v>
                </c:pt>
                <c:pt idx="153">
                  <c:v>2864.1000000000004</c:v>
                </c:pt>
                <c:pt idx="154">
                  <c:v>2836.152</c:v>
                </c:pt>
                <c:pt idx="155">
                  <c:v>1720.7759999999998</c:v>
                </c:pt>
                <c:pt idx="156">
                  <c:v>1279.944</c:v>
                </c:pt>
                <c:pt idx="157">
                  <c:v>1829.2140000000002</c:v>
                </c:pt>
                <c:pt idx="158">
                  <c:v>2243.4780000000001</c:v>
                </c:pt>
                <c:pt idx="159">
                  <c:v>2464.4339999999997</c:v>
                </c:pt>
                <c:pt idx="160">
                  <c:v>2743.134</c:v>
                </c:pt>
                <c:pt idx="161">
                  <c:v>2659.614</c:v>
                </c:pt>
                <c:pt idx="162">
                  <c:v>2522.2139999999999</c:v>
                </c:pt>
                <c:pt idx="163">
                  <c:v>2358.2339999999999</c:v>
                </c:pt>
                <c:pt idx="164">
                  <c:v>2456.0880000000002</c:v>
                </c:pt>
                <c:pt idx="165">
                  <c:v>2538.498</c:v>
                </c:pt>
                <c:pt idx="166">
                  <c:v>2491.404</c:v>
                </c:pt>
                <c:pt idx="167">
                  <c:v>1419.8820000000001</c:v>
                </c:pt>
                <c:pt idx="168">
                  <c:v>1018.4159999999999</c:v>
                </c:pt>
                <c:pt idx="169">
                  <c:v>1434.0419999999999</c:v>
                </c:pt>
                <c:pt idx="170">
                  <c:v>2018.694</c:v>
                </c:pt>
                <c:pt idx="171">
                  <c:v>2007.09</c:v>
                </c:pt>
                <c:pt idx="172">
                  <c:v>1966.8120000000001</c:v>
                </c:pt>
                <c:pt idx="173">
                  <c:v>2034.21</c:v>
                </c:pt>
                <c:pt idx="174">
                  <c:v>2148.942</c:v>
                </c:pt>
                <c:pt idx="175">
                  <c:v>2213.1959999999999</c:v>
                </c:pt>
                <c:pt idx="176">
                  <c:v>2208.3959999999997</c:v>
                </c:pt>
                <c:pt idx="177">
                  <c:v>2143.3319999999999</c:v>
                </c:pt>
                <c:pt idx="178">
                  <c:v>2198.1660000000002</c:v>
                </c:pt>
                <c:pt idx="179">
                  <c:v>1408.9859999999999</c:v>
                </c:pt>
                <c:pt idx="180">
                  <c:v>908.79600000000005</c:v>
                </c:pt>
                <c:pt idx="181">
                  <c:v>1545.732</c:v>
                </c:pt>
                <c:pt idx="182">
                  <c:v>1882.4520000000002</c:v>
                </c:pt>
                <c:pt idx="183">
                  <c:v>2010.4860000000001</c:v>
                </c:pt>
                <c:pt idx="184">
                  <c:v>2104.0500000000002</c:v>
                </c:pt>
                <c:pt idx="185">
                  <c:v>1905.7440000000001</c:v>
                </c:pt>
                <c:pt idx="186">
                  <c:v>1889.9640000000002</c:v>
                </c:pt>
                <c:pt idx="187">
                  <c:v>2269.5839999999998</c:v>
                </c:pt>
                <c:pt idx="188">
                  <c:v>2405.9580000000001</c:v>
                </c:pt>
                <c:pt idx="189">
                  <c:v>2418.0479999999998</c:v>
                </c:pt>
                <c:pt idx="190">
                  <c:v>2461.2599999999998</c:v>
                </c:pt>
                <c:pt idx="191">
                  <c:v>1428.33</c:v>
                </c:pt>
                <c:pt idx="192">
                  <c:v>965.84999999999991</c:v>
                </c:pt>
                <c:pt idx="193">
                  <c:v>1621.3980000000001</c:v>
                </c:pt>
                <c:pt idx="194">
                  <c:v>2031.384</c:v>
                </c:pt>
                <c:pt idx="195">
                  <c:v>2232.732</c:v>
                </c:pt>
                <c:pt idx="196">
                  <c:v>2604.6779999999999</c:v>
                </c:pt>
                <c:pt idx="197">
                  <c:v>2451.828</c:v>
                </c:pt>
                <c:pt idx="198">
                  <c:v>2413.4520000000002</c:v>
                </c:pt>
                <c:pt idx="199">
                  <c:v>2390.0700000000002</c:v>
                </c:pt>
                <c:pt idx="200">
                  <c:v>2579.1179999999999</c:v>
                </c:pt>
                <c:pt idx="201">
                  <c:v>2639.8019999999997</c:v>
                </c:pt>
                <c:pt idx="202">
                  <c:v>2693.2200000000003</c:v>
                </c:pt>
                <c:pt idx="203">
                  <c:v>1755.4679999999998</c:v>
                </c:pt>
                <c:pt idx="204">
                  <c:v>1329.5340000000001</c:v>
                </c:pt>
                <c:pt idx="205">
                  <c:v>2131.3620000000001</c:v>
                </c:pt>
                <c:pt idx="206">
                  <c:v>2668.8239999999996</c:v>
                </c:pt>
                <c:pt idx="207">
                  <c:v>2999.5079999999998</c:v>
                </c:pt>
                <c:pt idx="208">
                  <c:v>3227.9759999999997</c:v>
                </c:pt>
                <c:pt idx="209">
                  <c:v>3026.25</c:v>
                </c:pt>
                <c:pt idx="210">
                  <c:v>2878.6499999999996</c:v>
                </c:pt>
                <c:pt idx="211">
                  <c:v>2910.7740000000003</c:v>
                </c:pt>
                <c:pt idx="212">
                  <c:v>2881.0739999999996</c:v>
                </c:pt>
                <c:pt idx="213">
                  <c:v>3170.5619999999999</c:v>
                </c:pt>
                <c:pt idx="214">
                  <c:v>3013.4279999999999</c:v>
                </c:pt>
                <c:pt idx="215">
                  <c:v>1891.3139999999999</c:v>
                </c:pt>
                <c:pt idx="216">
                  <c:v>1646.0819999999999</c:v>
                </c:pt>
                <c:pt idx="217">
                  <c:v>2286.69</c:v>
                </c:pt>
                <c:pt idx="218">
                  <c:v>2959.326</c:v>
                </c:pt>
                <c:pt idx="219">
                  <c:v>3280.9920000000002</c:v>
                </c:pt>
                <c:pt idx="220">
                  <c:v>3679.0199999999995</c:v>
                </c:pt>
                <c:pt idx="221">
                  <c:v>3707.3820000000005</c:v>
                </c:pt>
                <c:pt idx="222">
                  <c:v>3725.7179999999998</c:v>
                </c:pt>
                <c:pt idx="223">
                  <c:v>3913.5959999999995</c:v>
                </c:pt>
                <c:pt idx="224">
                  <c:v>3841.038</c:v>
                </c:pt>
                <c:pt idx="225">
                  <c:v>3909.4739999999997</c:v>
                </c:pt>
                <c:pt idx="226">
                  <c:v>3797.6279999999997</c:v>
                </c:pt>
                <c:pt idx="227">
                  <c:v>2400.4740000000002</c:v>
                </c:pt>
                <c:pt idx="228">
                  <c:v>2036.796</c:v>
                </c:pt>
                <c:pt idx="229">
                  <c:v>3079.38</c:v>
                </c:pt>
                <c:pt idx="230">
                  <c:v>3664.0860000000002</c:v>
                </c:pt>
                <c:pt idx="231">
                  <c:v>2873.9700000000003</c:v>
                </c:pt>
                <c:pt idx="232">
                  <c:v>3331.8420000000001</c:v>
                </c:pt>
                <c:pt idx="233">
                  <c:v>3682.7699999999995</c:v>
                </c:pt>
                <c:pt idx="234">
                  <c:v>4186.6020000000008</c:v>
                </c:pt>
                <c:pt idx="235">
                  <c:v>4280.5860000000002</c:v>
                </c:pt>
                <c:pt idx="236">
                  <c:v>4327.2119999999995</c:v>
                </c:pt>
                <c:pt idx="237">
                  <c:v>4523.3220000000001</c:v>
                </c:pt>
                <c:pt idx="238">
                  <c:v>4364.7300000000005</c:v>
                </c:pt>
                <c:pt idx="239">
                  <c:v>2956.29</c:v>
                </c:pt>
                <c:pt idx="240">
                  <c:v>2571.3359999999998</c:v>
                </c:pt>
                <c:pt idx="241">
                  <c:v>3347.34</c:v>
                </c:pt>
                <c:pt idx="242">
                  <c:v>4651.6440000000002</c:v>
                </c:pt>
                <c:pt idx="243">
                  <c:v>4752.6959999999999</c:v>
                </c:pt>
                <c:pt idx="244">
                  <c:v>5020.8180000000002</c:v>
                </c:pt>
                <c:pt idx="245">
                  <c:v>5053.08</c:v>
                </c:pt>
                <c:pt idx="246">
                  <c:v>5023.8060000000005</c:v>
                </c:pt>
                <c:pt idx="247">
                  <c:v>5317.9260000000004</c:v>
                </c:pt>
                <c:pt idx="248">
                  <c:v>5288.1900000000005</c:v>
                </c:pt>
                <c:pt idx="249">
                  <c:v>5468.5079999999998</c:v>
                </c:pt>
                <c:pt idx="250">
                  <c:v>5290.9979999999996</c:v>
                </c:pt>
                <c:pt idx="251">
                  <c:v>3304.6080000000002</c:v>
                </c:pt>
                <c:pt idx="252">
                  <c:v>3045.42</c:v>
                </c:pt>
                <c:pt idx="253">
                  <c:v>3788.6099999999997</c:v>
                </c:pt>
                <c:pt idx="254">
                  <c:v>4633.6080000000002</c:v>
                </c:pt>
                <c:pt idx="255">
                  <c:v>5019.7759999999998</c:v>
                </c:pt>
                <c:pt idx="256">
                  <c:v>4995.0280000000002</c:v>
                </c:pt>
                <c:pt idx="257">
                  <c:v>4382.3779999999997</c:v>
                </c:pt>
                <c:pt idx="258">
                  <c:v>3310.25</c:v>
                </c:pt>
                <c:pt idx="259">
                  <c:v>4135.1139999999996</c:v>
                </c:pt>
                <c:pt idx="260">
                  <c:v>4452.0860000000002</c:v>
                </c:pt>
                <c:pt idx="261">
                  <c:v>3959.5360000000001</c:v>
                </c:pt>
                <c:pt idx="262">
                  <c:v>3608.2260000000001</c:v>
                </c:pt>
                <c:pt idx="263">
                  <c:v>4630.7839999999997</c:v>
                </c:pt>
              </c:numCache>
            </c:numRef>
          </c:val>
          <c:smooth val="0"/>
          <c:extLst>
            <c:ext xmlns:c16="http://schemas.microsoft.com/office/drawing/2014/chart" uri="{C3380CC4-5D6E-409C-BE32-E72D297353CC}">
              <c16:uniqueId val="{00000000-55B5-416D-AB22-A6D961E8EFA0}"/>
            </c:ext>
          </c:extLst>
        </c:ser>
        <c:dLbls>
          <c:showLegendKey val="0"/>
          <c:showVal val="0"/>
          <c:showCatName val="0"/>
          <c:showSerName val="0"/>
          <c:showPercent val="0"/>
          <c:showBubbleSize val="0"/>
        </c:dLbls>
        <c:smooth val="0"/>
        <c:axId val="433064192"/>
        <c:axId val="433070080"/>
      </c:lineChart>
      <c:dateAx>
        <c:axId val="433064192"/>
        <c:scaling>
          <c:orientation val="minMax"/>
          <c:min val="37043"/>
        </c:scaling>
        <c:delete val="0"/>
        <c:axPos val="b"/>
        <c:numFmt formatCode="mmm\-yy"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chemeClr val="tx1"/>
                </a:solidFill>
                <a:latin typeface="+mn-lt"/>
                <a:ea typeface="+mn-ea"/>
                <a:cs typeface="+mn-cs"/>
              </a:defRPr>
            </a:pPr>
            <a:endParaRPr lang="en-US"/>
          </a:p>
        </c:txPr>
        <c:crossAx val="433070080"/>
        <c:crosses val="autoZero"/>
        <c:auto val="1"/>
        <c:lblOffset val="100"/>
        <c:baseTimeUnit val="months"/>
        <c:majorUnit val="1"/>
        <c:majorTimeUnit val="years"/>
      </c:dateAx>
      <c:valAx>
        <c:axId val="433070080"/>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AU"/>
                  <a:t>Employees</a:t>
                </a:r>
              </a:p>
            </c:rich>
          </c:tx>
          <c:layout>
            <c:manualLayout>
              <c:xMode val="edge"/>
              <c:yMode val="edge"/>
              <c:x val="1.5152956504205851E-2"/>
              <c:y val="0.5012652035442684"/>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33064192"/>
        <c:crosses val="autoZero"/>
        <c:crossBetween val="between"/>
      </c:valAx>
      <c:spPr>
        <a:solidFill>
          <a:schemeClr val="bg1"/>
        </a:solidFill>
        <a:ln>
          <a:noFill/>
        </a:ln>
        <a:effectLst/>
      </c:spPr>
    </c:plotArea>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pPr>
      <a:endParaRPr lang="en-US"/>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r>
              <a:rPr lang="en-AU" sz="1300"/>
              <a:t>Petroleum Employment</a:t>
            </a:r>
          </a:p>
          <a:p>
            <a:pPr>
              <a:defRPr/>
            </a:pPr>
            <a:r>
              <a:rPr lang="en-AU" sz="900"/>
              <a:t>Last 10 Calendar Years</a:t>
            </a:r>
          </a:p>
        </c:rich>
      </c:tx>
      <c:layout>
        <c:manualLayout>
          <c:xMode val="edge"/>
          <c:yMode val="edge"/>
          <c:x val="0.37275208780720598"/>
          <c:y val="2.5399148866182848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n-US"/>
        </a:p>
      </c:txPr>
    </c:title>
    <c:autoTitleDeleted val="0"/>
    <c:plotArea>
      <c:layout>
        <c:manualLayout>
          <c:layoutTarget val="inner"/>
          <c:xMode val="edge"/>
          <c:yMode val="edge"/>
          <c:x val="0.16146107268506327"/>
          <c:y val="0.22675054652111046"/>
          <c:w val="0.7372359093411196"/>
          <c:h val="0.59151497707695155"/>
        </c:manualLayout>
      </c:layout>
      <c:barChart>
        <c:barDir val="col"/>
        <c:grouping val="stacked"/>
        <c:varyColors val="0"/>
        <c:ser>
          <c:idx val="1"/>
          <c:order val="0"/>
          <c:tx>
            <c:v>Full-time</c:v>
          </c:tx>
          <c:spPr>
            <a:solidFill>
              <a:schemeClr val="accent2"/>
            </a:solidFill>
            <a:ln>
              <a:noFill/>
            </a:ln>
            <a:effectLst/>
          </c:spPr>
          <c:invertIfNegative val="0"/>
          <c:cat>
            <c:numRef>
              <c:f>'Petroleum Employment'!$H$8:$H$17</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'Petroleum Employment'!$I$8:$I$17</c:f>
              <c:numCache>
                <c:formatCode>#,##0</c:formatCode>
                <c:ptCount val="10"/>
                <c:pt idx="0">
                  <c:v>9376.2419800000007</c:v>
                </c:pt>
                <c:pt idx="1">
                  <c:v>11231.0363325</c:v>
                </c:pt>
                <c:pt idx="2">
                  <c:v>9498.5055675000003</c:v>
                </c:pt>
                <c:pt idx="3">
                  <c:v>9483.1271850000012</c:v>
                </c:pt>
                <c:pt idx="4">
                  <c:v>15757.641937499999</c:v>
                </c:pt>
                <c:pt idx="5">
                  <c:v>15298.534025000001</c:v>
                </c:pt>
                <c:pt idx="6">
                  <c:v>12022.844992499999</c:v>
                </c:pt>
                <c:pt idx="7">
                  <c:v>10477.9342925</c:v>
                </c:pt>
                <c:pt idx="8">
                  <c:v>11344.71925</c:v>
                </c:pt>
                <c:pt idx="9">
                  <c:v>9217.9003599999996</c:v>
                </c:pt>
              </c:numCache>
            </c:numRef>
          </c:val>
          <c:extLst>
            <c:ext xmlns:c16="http://schemas.microsoft.com/office/drawing/2014/chart" uri="{C3380CC4-5D6E-409C-BE32-E72D297353CC}">
              <c16:uniqueId val="{00000000-30E6-4862-8D64-D4FCCB6163B6}"/>
            </c:ext>
          </c:extLst>
        </c:ser>
        <c:ser>
          <c:idx val="2"/>
          <c:order val="1"/>
          <c:tx>
            <c:v>Part-time</c:v>
          </c:tx>
          <c:spPr>
            <a:solidFill>
              <a:schemeClr val="accent2">
                <a:tint val="65000"/>
              </a:schemeClr>
            </a:solidFill>
            <a:ln>
              <a:noFill/>
            </a:ln>
            <a:effectLst/>
          </c:spPr>
          <c:invertIfNegative val="0"/>
          <c:cat>
            <c:numRef>
              <c:f>'Petroleum Employment'!$H$8:$H$17</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'Petroleum Employment'!$J$8:$J$17</c:f>
              <c:numCache>
                <c:formatCode>#,##0</c:formatCode>
                <c:ptCount val="10"/>
                <c:pt idx="0">
                  <c:v>463.30550249999999</c:v>
                </c:pt>
                <c:pt idx="1">
                  <c:v>332.95209499999999</c:v>
                </c:pt>
                <c:pt idx="2">
                  <c:v>799.77450499999998</c:v>
                </c:pt>
                <c:pt idx="3">
                  <c:v>554.67964749999999</c:v>
                </c:pt>
                <c:pt idx="4">
                  <c:v>765.36139500000002</c:v>
                </c:pt>
                <c:pt idx="5">
                  <c:v>1076.1638974999998</c:v>
                </c:pt>
                <c:pt idx="6">
                  <c:v>352.11312500000003</c:v>
                </c:pt>
                <c:pt idx="7">
                  <c:v>725.16211250000003</c:v>
                </c:pt>
                <c:pt idx="8">
                  <c:v>1020.5141725</c:v>
                </c:pt>
                <c:pt idx="9">
                  <c:v>783.92062750000002</c:v>
                </c:pt>
              </c:numCache>
            </c:numRef>
          </c:val>
          <c:extLst>
            <c:ext xmlns:c16="http://schemas.microsoft.com/office/drawing/2014/chart" uri="{C3380CC4-5D6E-409C-BE32-E72D297353CC}">
              <c16:uniqueId val="{00000001-30E6-4862-8D64-D4FCCB6163B6}"/>
            </c:ext>
          </c:extLst>
        </c:ser>
        <c:dLbls>
          <c:showLegendKey val="0"/>
          <c:showVal val="0"/>
          <c:showCatName val="0"/>
          <c:showSerName val="0"/>
          <c:showPercent val="0"/>
          <c:showBubbleSize val="0"/>
        </c:dLbls>
        <c:gapWidth val="150"/>
        <c:overlap val="100"/>
        <c:axId val="422924288"/>
        <c:axId val="422926208"/>
      </c:barChart>
      <c:catAx>
        <c:axId val="422924288"/>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r>
                  <a:rPr lang="en-AU" sz="900"/>
                  <a:t>Source: ABS</a:t>
                </a:r>
              </a:p>
            </c:rich>
          </c:tx>
          <c:layout>
            <c:manualLayout>
              <c:xMode val="edge"/>
              <c:yMode val="edge"/>
              <c:x val="4.1894550415240645E-3"/>
              <c:y val="0.94641765635399644"/>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chemeClr val="tx1"/>
                </a:solidFill>
                <a:latin typeface="+mn-lt"/>
                <a:ea typeface="+mn-ea"/>
                <a:cs typeface="+mn-cs"/>
              </a:defRPr>
            </a:pPr>
            <a:endParaRPr lang="en-US"/>
          </a:p>
        </c:txPr>
        <c:crossAx val="422926208"/>
        <c:crosses val="autoZero"/>
        <c:auto val="1"/>
        <c:lblAlgn val="ctr"/>
        <c:lblOffset val="100"/>
        <c:noMultiLvlLbl val="0"/>
      </c:catAx>
      <c:valAx>
        <c:axId val="422926208"/>
        <c:scaling>
          <c:orientation val="minMax"/>
          <c:max val="2000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AU"/>
                  <a:t>Employees</a:t>
                </a:r>
              </a:p>
            </c:rich>
          </c:tx>
          <c:layout>
            <c:manualLayout>
              <c:xMode val="edge"/>
              <c:yMode val="edge"/>
              <c:x val="2.4634138526551202E-2"/>
              <c:y val="0.44005997433683391"/>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22924288"/>
        <c:crosses val="autoZero"/>
        <c:crossBetween val="between"/>
        <c:majorUnit val="4000"/>
      </c:valAx>
      <c:spPr>
        <a:solidFill>
          <a:schemeClr val="bg1"/>
        </a:solidFill>
        <a:ln>
          <a:noFill/>
        </a:ln>
        <a:effectLst/>
      </c:spPr>
    </c:plotArea>
    <c:legend>
      <c:legendPos val="t"/>
      <c:layout>
        <c:manualLayout>
          <c:xMode val="edge"/>
          <c:yMode val="edge"/>
          <c:x val="6.4589713519852598E-2"/>
          <c:y val="0.12885904482910066"/>
          <c:w val="0.89027346049828882"/>
          <c:h val="7.7571321861529707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r>
              <a:rPr lang="en-AU" sz="1300"/>
              <a:t>Petroleum Employment</a:t>
            </a:r>
          </a:p>
          <a:p>
            <a:pPr>
              <a:defRPr/>
            </a:pPr>
            <a:r>
              <a:rPr lang="en-AU" sz="900"/>
              <a:t>Last 10 Financial Years</a:t>
            </a:r>
          </a:p>
        </c:rich>
      </c:tx>
      <c:layout>
        <c:manualLayout>
          <c:xMode val="edge"/>
          <c:yMode val="edge"/>
          <c:x val="0.36241143630734757"/>
          <c:y val="2.1999409263111135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n-US"/>
        </a:p>
      </c:txPr>
    </c:title>
    <c:autoTitleDeleted val="0"/>
    <c:plotArea>
      <c:layout>
        <c:manualLayout>
          <c:layoutTarget val="inner"/>
          <c:xMode val="edge"/>
          <c:yMode val="edge"/>
          <c:x val="0.14541715441395023"/>
          <c:y val="0.21390300090904402"/>
          <c:w val="0.76685710402704521"/>
          <c:h val="0.57793336904261017"/>
        </c:manualLayout>
      </c:layout>
      <c:barChart>
        <c:barDir val="col"/>
        <c:grouping val="stacked"/>
        <c:varyColors val="0"/>
        <c:ser>
          <c:idx val="1"/>
          <c:order val="0"/>
          <c:tx>
            <c:strRef>
              <c:f>'Petroleum Employment'!$N$7</c:f>
              <c:strCache>
                <c:ptCount val="1"/>
                <c:pt idx="0">
                  <c:v>Full-time</c:v>
                </c:pt>
              </c:strCache>
            </c:strRef>
          </c:tx>
          <c:spPr>
            <a:solidFill>
              <a:schemeClr val="accent2"/>
            </a:solidFill>
            <a:ln>
              <a:noFill/>
            </a:ln>
            <a:effectLst/>
          </c:spPr>
          <c:invertIfNegative val="0"/>
          <c:dPt>
            <c:idx val="9"/>
            <c:invertIfNegative val="0"/>
            <c:bubble3D val="0"/>
            <c:spPr>
              <a:solidFill>
                <a:schemeClr val="accent2"/>
              </a:solidFill>
              <a:ln>
                <a:noFill/>
              </a:ln>
              <a:effectLst/>
            </c:spPr>
            <c:extLst>
              <c:ext xmlns:c16="http://schemas.microsoft.com/office/drawing/2014/chart" uri="{C3380CC4-5D6E-409C-BE32-E72D297353CC}">
                <c16:uniqueId val="{00000001-4D83-46E1-814A-53A65F1E217D}"/>
              </c:ext>
            </c:extLst>
          </c:dPt>
          <c:cat>
            <c:strRef>
              <c:f>'Petroleum Employment'!$M$8:$M$17</c:f>
              <c:strCache>
                <c:ptCount val="10"/>
                <c:pt idx="0">
                  <c:v>2014-15</c:v>
                </c:pt>
                <c:pt idx="1">
                  <c:v>2015-16</c:v>
                </c:pt>
                <c:pt idx="2">
                  <c:v>2016-17</c:v>
                </c:pt>
                <c:pt idx="3">
                  <c:v>2017-18</c:v>
                </c:pt>
                <c:pt idx="4">
                  <c:v>2018-19</c:v>
                </c:pt>
                <c:pt idx="5">
                  <c:v>2019-20</c:v>
                </c:pt>
                <c:pt idx="6">
                  <c:v>2020-21</c:v>
                </c:pt>
                <c:pt idx="7">
                  <c:v>2021-22</c:v>
                </c:pt>
                <c:pt idx="8">
                  <c:v>2022-23</c:v>
                </c:pt>
                <c:pt idx="9">
                  <c:v>2023-24</c:v>
                </c:pt>
              </c:strCache>
            </c:strRef>
          </c:cat>
          <c:val>
            <c:numRef>
              <c:f>'Petroleum Employment'!$N$8:$N$17</c:f>
              <c:numCache>
                <c:formatCode>#,##0</c:formatCode>
                <c:ptCount val="10"/>
                <c:pt idx="0">
                  <c:v>9501.2063474999995</c:v>
                </c:pt>
                <c:pt idx="1">
                  <c:v>10808.92823</c:v>
                </c:pt>
                <c:pt idx="2">
                  <c:v>8658.2281750000002</c:v>
                </c:pt>
                <c:pt idx="3">
                  <c:v>13420.080732499999</c:v>
                </c:pt>
                <c:pt idx="4">
                  <c:v>14161.873075</c:v>
                </c:pt>
                <c:pt idx="5">
                  <c:v>14702.2503925</c:v>
                </c:pt>
                <c:pt idx="6">
                  <c:v>11139.5416675</c:v>
                </c:pt>
                <c:pt idx="7">
                  <c:v>11424.557627499998</c:v>
                </c:pt>
                <c:pt idx="8">
                  <c:v>11301.575905</c:v>
                </c:pt>
                <c:pt idx="9">
                  <c:v>6978.1837399999995</c:v>
                </c:pt>
              </c:numCache>
            </c:numRef>
          </c:val>
          <c:extLst>
            <c:ext xmlns:c16="http://schemas.microsoft.com/office/drawing/2014/chart" uri="{C3380CC4-5D6E-409C-BE32-E72D297353CC}">
              <c16:uniqueId val="{00000002-4D83-46E1-814A-53A65F1E217D}"/>
            </c:ext>
          </c:extLst>
        </c:ser>
        <c:ser>
          <c:idx val="2"/>
          <c:order val="1"/>
          <c:tx>
            <c:strRef>
              <c:f>'Petroleum Employment'!$O$7</c:f>
              <c:strCache>
                <c:ptCount val="1"/>
                <c:pt idx="0">
                  <c:v>Part-time</c:v>
                </c:pt>
              </c:strCache>
            </c:strRef>
          </c:tx>
          <c:spPr>
            <a:solidFill>
              <a:schemeClr val="accent2">
                <a:tint val="65000"/>
              </a:schemeClr>
            </a:solidFill>
            <a:ln>
              <a:noFill/>
            </a:ln>
            <a:effectLst/>
          </c:spPr>
          <c:invertIfNegative val="0"/>
          <c:dPt>
            <c:idx val="9"/>
            <c:invertIfNegative val="0"/>
            <c:bubble3D val="0"/>
            <c:spPr>
              <a:solidFill>
                <a:schemeClr val="accent2">
                  <a:tint val="65000"/>
                </a:schemeClr>
              </a:solidFill>
              <a:ln>
                <a:noFill/>
              </a:ln>
              <a:effectLst/>
            </c:spPr>
            <c:extLst>
              <c:ext xmlns:c16="http://schemas.microsoft.com/office/drawing/2014/chart" uri="{C3380CC4-5D6E-409C-BE32-E72D297353CC}">
                <c16:uniqueId val="{00000004-4D83-46E1-814A-53A65F1E217D}"/>
              </c:ext>
            </c:extLst>
          </c:dPt>
          <c:cat>
            <c:strRef>
              <c:f>'Petroleum Employment'!$M$8:$M$17</c:f>
              <c:strCache>
                <c:ptCount val="10"/>
                <c:pt idx="0">
                  <c:v>2014-15</c:v>
                </c:pt>
                <c:pt idx="1">
                  <c:v>2015-16</c:v>
                </c:pt>
                <c:pt idx="2">
                  <c:v>2016-17</c:v>
                </c:pt>
                <c:pt idx="3">
                  <c:v>2017-18</c:v>
                </c:pt>
                <c:pt idx="4">
                  <c:v>2018-19</c:v>
                </c:pt>
                <c:pt idx="5">
                  <c:v>2019-20</c:v>
                </c:pt>
                <c:pt idx="6">
                  <c:v>2020-21</c:v>
                </c:pt>
                <c:pt idx="7">
                  <c:v>2021-22</c:v>
                </c:pt>
                <c:pt idx="8">
                  <c:v>2022-23</c:v>
                </c:pt>
                <c:pt idx="9">
                  <c:v>2023-24</c:v>
                </c:pt>
              </c:strCache>
            </c:strRef>
          </c:cat>
          <c:val>
            <c:numRef>
              <c:f>'Petroleum Employment'!$O$8:$O$17</c:f>
              <c:numCache>
                <c:formatCode>#,##0</c:formatCode>
                <c:ptCount val="10"/>
                <c:pt idx="0">
                  <c:v>247.86828500000001</c:v>
                </c:pt>
                <c:pt idx="1">
                  <c:v>812.44194500000003</c:v>
                </c:pt>
                <c:pt idx="2">
                  <c:v>540.01668500000005</c:v>
                </c:pt>
                <c:pt idx="3">
                  <c:v>564.16522750000013</c:v>
                </c:pt>
                <c:pt idx="4">
                  <c:v>794.18953750000003</c:v>
                </c:pt>
                <c:pt idx="5">
                  <c:v>961.06835499999977</c:v>
                </c:pt>
                <c:pt idx="6">
                  <c:v>330.61720249999996</c:v>
                </c:pt>
                <c:pt idx="7">
                  <c:v>1087.4664700000001</c:v>
                </c:pt>
                <c:pt idx="8">
                  <c:v>672.6148025</c:v>
                </c:pt>
                <c:pt idx="9">
                  <c:v>1031.5681125000001</c:v>
                </c:pt>
              </c:numCache>
            </c:numRef>
          </c:val>
          <c:extLst>
            <c:ext xmlns:c16="http://schemas.microsoft.com/office/drawing/2014/chart" uri="{C3380CC4-5D6E-409C-BE32-E72D297353CC}">
              <c16:uniqueId val="{00000005-4D83-46E1-814A-53A65F1E217D}"/>
            </c:ext>
          </c:extLst>
        </c:ser>
        <c:dLbls>
          <c:showLegendKey val="0"/>
          <c:showVal val="0"/>
          <c:showCatName val="0"/>
          <c:showSerName val="0"/>
          <c:showPercent val="0"/>
          <c:showBubbleSize val="0"/>
        </c:dLbls>
        <c:gapWidth val="150"/>
        <c:overlap val="100"/>
        <c:axId val="427180032"/>
        <c:axId val="427181952"/>
      </c:barChart>
      <c:catAx>
        <c:axId val="427180032"/>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r>
                  <a:rPr lang="en-AU" sz="900"/>
                  <a:t>Source: ABS</a:t>
                </a:r>
              </a:p>
            </c:rich>
          </c:tx>
          <c:layout>
            <c:manualLayout>
              <c:xMode val="edge"/>
              <c:yMode val="edge"/>
              <c:x val="9.2280856373997047E-3"/>
              <c:y val="0.9464176411910775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chemeClr val="tx1"/>
                </a:solidFill>
                <a:latin typeface="+mn-lt"/>
                <a:ea typeface="+mn-ea"/>
                <a:cs typeface="+mn-cs"/>
              </a:defRPr>
            </a:pPr>
            <a:endParaRPr lang="en-US"/>
          </a:p>
        </c:txPr>
        <c:crossAx val="427181952"/>
        <c:crosses val="autoZero"/>
        <c:auto val="1"/>
        <c:lblAlgn val="ctr"/>
        <c:lblOffset val="100"/>
        <c:noMultiLvlLbl val="0"/>
      </c:catAx>
      <c:valAx>
        <c:axId val="427181952"/>
        <c:scaling>
          <c:orientation val="minMax"/>
          <c:max val="2000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AU"/>
                  <a:t>Employees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27180032"/>
        <c:crosses val="autoZero"/>
        <c:crossBetween val="between"/>
        <c:majorUnit val="4000"/>
      </c:valAx>
      <c:spPr>
        <a:solidFill>
          <a:schemeClr val="bg1"/>
        </a:solidFill>
        <a:ln>
          <a:noFill/>
        </a:ln>
        <a:effectLst/>
      </c:spPr>
    </c:plotArea>
    <c:legend>
      <c:legendPos val="t"/>
      <c:layout>
        <c:manualLayout>
          <c:xMode val="edge"/>
          <c:yMode val="edge"/>
          <c:x val="3.3116440820288501E-2"/>
          <c:y val="0.1369116546462574"/>
          <c:w val="0.95147734634665659"/>
          <c:h val="5.267614788747004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withinLinear" id="14">
  <a:schemeClr val="accent1"/>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withinLinear" id="19">
  <a:schemeClr val="accent6"/>
</cs:colorStyle>
</file>

<file path=xl/charts/colors7.xml><?xml version="1.0" encoding="utf-8"?>
<cs:colorStyle xmlns:cs="http://schemas.microsoft.com/office/drawing/2012/chartStyle" xmlns:a="http://schemas.openxmlformats.org/drawingml/2006/main" meth="withinLinear" id="19">
  <a:schemeClr val="accent6"/>
</cs:colorStyle>
</file>

<file path=xl/charts/colors8.xml><?xml version="1.0" encoding="utf-8"?>
<cs:colorStyle xmlns:cs="http://schemas.microsoft.com/office/drawing/2012/chartStyle" xmlns:a="http://schemas.openxmlformats.org/drawingml/2006/main" meth="withinLinearReversed" id="26">
  <a:schemeClr val="accent6"/>
</cs:colorStyle>
</file>

<file path=xl/charts/colors9.xml><?xml version="1.0" encoding="utf-8"?>
<cs:colorStyle xmlns:cs="http://schemas.microsoft.com/office/drawing/2012/chartStyle" xmlns:a="http://schemas.openxmlformats.org/drawingml/2006/main" meth="withinLinear" id="19">
  <a:schemeClr val="accent6"/>
</cs:colorStyle>
</file>

<file path=xl/charts/colors10.xml><?xml version="1.0" encoding="utf-8"?>
<cs:colorStyle xmlns:cs="http://schemas.microsoft.com/office/drawing/2012/chartStyle" xmlns:a="http://schemas.openxmlformats.org/drawingml/2006/main" meth="withinLinear" id="19">
  <a:schemeClr val="accent6"/>
</cs:colorStyle>
</file>

<file path=xl/charts/colors11.xml><?xml version="1.0" encoding="utf-8"?>
<cs:colorStyle xmlns:cs="http://schemas.microsoft.com/office/drawing/2012/chartStyle" xmlns:a="http://schemas.openxmlformats.org/drawingml/2006/main" meth="withinLinear" id="19">
  <a:schemeClr val="accent6"/>
</cs:colorStyle>
</file>

<file path=xl/charts/colors12.xml><?xml version="1.0" encoding="utf-8"?>
<cs:colorStyle xmlns:cs="http://schemas.microsoft.com/office/drawing/2012/chartStyle" xmlns:a="http://schemas.openxmlformats.org/drawingml/2006/main" meth="withinLinear" id="16">
  <a:schemeClr val="accent3"/>
</cs:colorStyle>
</file>

<file path=xl/charts/colors13.xml><?xml version="1.0" encoding="utf-8"?>
<cs:colorStyle xmlns:cs="http://schemas.microsoft.com/office/drawing/2012/chartStyle" xmlns:a="http://schemas.openxmlformats.org/drawingml/2006/main" meth="withinLinear" id="15">
  <a:schemeClr val="accent2"/>
</cs:colorStyle>
</file>

<file path=xl/charts/colors14.xml><?xml version="1.0" encoding="utf-8"?>
<cs:colorStyle xmlns:cs="http://schemas.microsoft.com/office/drawing/2012/chartStyle" xmlns:a="http://schemas.openxmlformats.org/drawingml/2006/main" meth="withinLinear" id="15">
  <a:schemeClr val="accent2"/>
</cs:colorStyle>
</file>

<file path=xl/charts/colors15.xml><?xml version="1.0" encoding="utf-8"?>
<cs:colorStyle xmlns:cs="http://schemas.microsoft.com/office/drawing/2012/chartStyle" xmlns:a="http://schemas.openxmlformats.org/drawingml/2006/main" meth="withinLinear" id="15">
  <a:schemeClr val="accent2"/>
</cs:colorStyle>
</file>

<file path=xl/charts/colors16.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105">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10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10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10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10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2.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5.xml><?xml version="1.0" encoding="utf-8"?>
<cs:chartStyle xmlns:cs="http://schemas.microsoft.com/office/drawing/2012/chartStyle" xmlns:a="http://schemas.openxmlformats.org/drawingml/2006/main" id="10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6.xml><?xml version="1.0" encoding="utf-8"?>
<cs:chartStyle xmlns:cs="http://schemas.microsoft.com/office/drawing/2012/chartStyle" xmlns:a="http://schemas.openxmlformats.org/drawingml/2006/main" id="10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ex!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ex!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ex!A1"/></Relationships>
</file>

<file path=xl/drawings/_rels/drawing4.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Index!A1"/></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png"/><Relationship Id="rId1" Type="http://schemas.openxmlformats.org/officeDocument/2006/relationships/hyperlink" Target="#Index!A1"/><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ex!A1"/></Relationships>
</file>

<file path=xl/drawings/_rels/drawing9.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1.png"/><Relationship Id="rId1" Type="http://schemas.openxmlformats.org/officeDocument/2006/relationships/hyperlink" Target="#Index!A1"/><Relationship Id="rId4"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ex!A1"/></Relationships>
</file>

<file path=xl/drawings/_rels/drawing11.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1.png"/><Relationship Id="rId1" Type="http://schemas.openxmlformats.org/officeDocument/2006/relationships/hyperlink" Target="#Index!A1"/><Relationship Id="rId4"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1.png"/><Relationship Id="rId1" Type="http://schemas.openxmlformats.org/officeDocument/2006/relationships/hyperlink" Target="#Index!A1"/><Relationship Id="rId4"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1.png"/><Relationship Id="rId1" Type="http://schemas.openxmlformats.org/officeDocument/2006/relationships/hyperlink" Target="#Index!A1"/></Relationships>
</file>

<file path=xl/drawings/_rels/drawing14.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1.png"/><Relationship Id="rId1" Type="http://schemas.openxmlformats.org/officeDocument/2006/relationships/hyperlink" Target="#Index!A1"/><Relationship Id="rId4" Type="http://schemas.openxmlformats.org/officeDocument/2006/relationships/chart" Target="../charts/chart12.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1.png"/><Relationship Id="rId1" Type="http://schemas.openxmlformats.org/officeDocument/2006/relationships/hyperlink" Target="#Index!A1"/><Relationship Id="rId4" Type="http://schemas.openxmlformats.org/officeDocument/2006/relationships/chart" Target="../charts/chart14.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image" Target="../media/image1.png"/><Relationship Id="rId1" Type="http://schemas.openxmlformats.org/officeDocument/2006/relationships/hyperlink" Target="#Index!A1"/><Relationship Id="rId4" Type="http://schemas.openxmlformats.org/officeDocument/2006/relationships/chart" Target="../charts/chart16.xm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ex!A1"/></Relationships>
</file>

<file path=xl/drawings/_rels/drawing20.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image" Target="../media/image1.png"/><Relationship Id="rId1" Type="http://schemas.openxmlformats.org/officeDocument/2006/relationships/hyperlink" Target="#Index!A1"/><Relationship Id="rId4" Type="http://schemas.openxmlformats.org/officeDocument/2006/relationships/chart" Target="../charts/chart18.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image" Target="../media/image1.png"/><Relationship Id="rId1" Type="http://schemas.openxmlformats.org/officeDocument/2006/relationships/hyperlink" Target="#Index!A1"/><Relationship Id="rId4" Type="http://schemas.openxmlformats.org/officeDocument/2006/relationships/chart" Target="../charts/chart20.xml"/></Relationships>
</file>

<file path=xl/drawings/_rels/drawing24.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image" Target="../media/image1.png"/><Relationship Id="rId1" Type="http://schemas.openxmlformats.org/officeDocument/2006/relationships/hyperlink" Target="#Index!A1"/><Relationship Id="rId4" Type="http://schemas.openxmlformats.org/officeDocument/2006/relationships/chart" Target="../charts/chart22.xm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ex!A1"/></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ex!A1"/></Relationships>
</file>

<file path=xl/drawings/_rels/drawing29.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image" Target="../media/image1.png"/><Relationship Id="rId1" Type="http://schemas.openxmlformats.org/officeDocument/2006/relationships/hyperlink" Target="#Index!A1"/><Relationship Id="rId4" Type="http://schemas.openxmlformats.org/officeDocument/2006/relationships/chart" Target="../charts/chart24.xm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ex!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783797</xdr:colOff>
      <xdr:row>4</xdr:row>
      <xdr:rowOff>7251</xdr:rowOff>
    </xdr:to>
    <xdr:pic>
      <xdr:nvPicPr>
        <xdr:cNvPr id="2" name="Picture 1">
          <a:hlinkClick xmlns:r="http://schemas.openxmlformats.org/officeDocument/2006/relationships" r:id="rId1"/>
          <a:extLst>
            <a:ext uri="{FF2B5EF4-FFF2-40B4-BE49-F238E27FC236}">
              <a16:creationId xmlns:a16="http://schemas.microsoft.com/office/drawing/2014/main" id="{4A798346-C67F-44C5-8D37-D788EE3FF11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twoCellAnchor>
    <xdr:from>
      <xdr:col>1</xdr:col>
      <xdr:colOff>0</xdr:colOff>
      <xdr:row>27</xdr:row>
      <xdr:rowOff>0</xdr:rowOff>
    </xdr:from>
    <xdr:to>
      <xdr:col>3</xdr:col>
      <xdr:colOff>3380475</xdr:colOff>
      <xdr:row>38</xdr:row>
      <xdr:rowOff>64500</xdr:rowOff>
    </xdr:to>
    <xdr:sp macro="" textlink="">
      <xdr:nvSpPr>
        <xdr:cNvPr id="3" name="TextBox 2">
          <a:extLst>
            <a:ext uri="{FF2B5EF4-FFF2-40B4-BE49-F238E27FC236}">
              <a16:creationId xmlns:a16="http://schemas.microsoft.com/office/drawing/2014/main" id="{1D82E2BA-1876-4F95-80CC-CFA09A8ABA16}"/>
            </a:ext>
          </a:extLst>
        </xdr:cNvPr>
        <xdr:cNvSpPr txBox="1"/>
      </xdr:nvSpPr>
      <xdr:spPr>
        <a:xfrm>
          <a:off x="1733550" y="5143500"/>
          <a:ext cx="7200000" cy="2160000"/>
        </a:xfrm>
        <a:prstGeom prst="rect">
          <a:avLst/>
        </a:prstGeom>
        <a:solidFill>
          <a:schemeClr val="bg1">
            <a:lumMod val="8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0" i="0">
              <a:solidFill>
                <a:schemeClr val="dk1"/>
              </a:solidFill>
              <a:effectLst/>
              <a:latin typeface="+mn-lt"/>
              <a:ea typeface="+mn-ea"/>
              <a:cs typeface="+mn-cs"/>
            </a:rPr>
            <a:t>Information provided in this file is made available without charge, as a public service, in good faith. It is derived from sources believed to be reliable and accurate at the time of publication. As a result it is recommended that the latest release is used wherever possible. However, use of the information in this file is at your own risk.</a:t>
          </a:r>
        </a:p>
        <a:p>
          <a:pPr marL="0" marR="0" lvl="0" indent="0" defTabSz="914400" eaLnBrk="1" fontAlgn="auto" latinLnBrk="0" hangingPunct="1">
            <a:lnSpc>
              <a:spcPct val="100000"/>
            </a:lnSpc>
            <a:spcBef>
              <a:spcPts val="0"/>
            </a:spcBef>
            <a:spcAft>
              <a:spcPts val="0"/>
            </a:spcAft>
            <a:buClrTx/>
            <a:buSzTx/>
            <a:buFontTx/>
            <a:buNone/>
            <a:tabLst/>
            <a:defRPr/>
          </a:pPr>
          <a:r>
            <a:rPr lang="en-AU" sz="1100" b="0" i="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AU" sz="1100" b="0" i="0">
              <a:solidFill>
                <a:schemeClr val="dk1"/>
              </a:solidFill>
              <a:effectLst/>
              <a:latin typeface="+mn-lt"/>
              <a:ea typeface="+mn-ea"/>
              <a:cs typeface="+mn-cs"/>
            </a:rPr>
            <a:t>Users of this information are responsible for making their own assessment of the information provided therein and users are advised to verify all representations, statements and information for decisions that concern the conduct of business that involves monetary or operational consequences.</a:t>
          </a:r>
        </a:p>
        <a:p>
          <a:pPr marL="0" marR="0" lvl="0" indent="0" defTabSz="914400" eaLnBrk="1" fontAlgn="auto" latinLnBrk="0" hangingPunct="1">
            <a:lnSpc>
              <a:spcPct val="100000"/>
            </a:lnSpc>
            <a:spcBef>
              <a:spcPts val="0"/>
            </a:spcBef>
            <a:spcAft>
              <a:spcPts val="0"/>
            </a:spcAft>
            <a:buClrTx/>
            <a:buSzTx/>
            <a:buFontTx/>
            <a:buNone/>
            <a:tabLst/>
            <a:defRPr/>
          </a:pPr>
          <a:r>
            <a:rPr lang="en-AU" sz="1100" b="0" i="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AU" sz="1100" b="0" i="0">
              <a:solidFill>
                <a:schemeClr val="dk1"/>
              </a:solidFill>
              <a:effectLst/>
              <a:latin typeface="+mn-lt"/>
              <a:ea typeface="+mn-ea"/>
              <a:cs typeface="+mn-cs"/>
            </a:rPr>
            <a:t>Each user waives and releases the Department of Energy, Mines, Industry Regulation and Safety and the State of Western Australia and its servants to the full extent permitted by law from all and any claims relating to the use of the material in this file. In no event shall the Department of Energy, Mines, Industry Regulation and Safety or the State of Western Australia be liable for any incidental or consequential damages arising from any use or reliance on any material in this file.</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2622122</xdr:colOff>
      <xdr:row>4</xdr:row>
      <xdr:rowOff>7251</xdr:rowOff>
    </xdr:to>
    <xdr:pic>
      <xdr:nvPicPr>
        <xdr:cNvPr id="2" name="Picture 1">
          <a:hlinkClick xmlns:r="http://schemas.openxmlformats.org/officeDocument/2006/relationships" r:id="rId1"/>
          <a:extLst>
            <a:ext uri="{FF2B5EF4-FFF2-40B4-BE49-F238E27FC236}">
              <a16:creationId xmlns:a16="http://schemas.microsoft.com/office/drawing/2014/main" id="{B0FA5D9B-4F47-4FCA-8D95-71684B65ACE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1441022</xdr:colOff>
      <xdr:row>4</xdr:row>
      <xdr:rowOff>7251</xdr:rowOff>
    </xdr:to>
    <xdr:pic>
      <xdr:nvPicPr>
        <xdr:cNvPr id="2" name="Picture 1">
          <a:hlinkClick xmlns:r="http://schemas.openxmlformats.org/officeDocument/2006/relationships" r:id="rId1"/>
          <a:extLst>
            <a:ext uri="{FF2B5EF4-FFF2-40B4-BE49-F238E27FC236}">
              <a16:creationId xmlns:a16="http://schemas.microsoft.com/office/drawing/2014/main" id="{2ECA5D16-54AF-47EA-A701-79CBBD8D234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twoCellAnchor>
    <xdr:from>
      <xdr:col>0</xdr:col>
      <xdr:colOff>342900</xdr:colOff>
      <xdr:row>6</xdr:row>
      <xdr:rowOff>0</xdr:rowOff>
    </xdr:from>
    <xdr:to>
      <xdr:col>6</xdr:col>
      <xdr:colOff>0</xdr:colOff>
      <xdr:row>19</xdr:row>
      <xdr:rowOff>76199</xdr:rowOff>
    </xdr:to>
    <xdr:sp macro="" textlink="">
      <xdr:nvSpPr>
        <xdr:cNvPr id="3" name="Text Box 2">
          <a:extLst>
            <a:ext uri="{FF2B5EF4-FFF2-40B4-BE49-F238E27FC236}">
              <a16:creationId xmlns:a16="http://schemas.microsoft.com/office/drawing/2014/main" id="{2BBD0592-EE9A-46F1-90D8-C20A8619B41D}"/>
            </a:ext>
          </a:extLst>
        </xdr:cNvPr>
        <xdr:cNvSpPr txBox="1">
          <a:spLocks noChangeArrowheads="1"/>
        </xdr:cNvSpPr>
      </xdr:nvSpPr>
      <xdr:spPr bwMode="auto">
        <a:xfrm>
          <a:off x="342900" y="1143000"/>
          <a:ext cx="6210300" cy="2600324"/>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27432" rIns="0" bIns="0" anchor="t" upright="1"/>
        <a:lstStyle/>
        <a:p>
          <a:pPr algn="l" rtl="0">
            <a:defRPr sz="1000"/>
          </a:pPr>
          <a:r>
            <a:rPr lang="en-AU" sz="1100" b="1" i="0" u="none" strike="noStrike" baseline="0">
              <a:solidFill>
                <a:srgbClr val="000000"/>
              </a:solidFill>
              <a:latin typeface="+mn-lt"/>
            </a:rPr>
            <a:t>Navigation: 		</a:t>
          </a:r>
          <a:r>
            <a:rPr lang="en-AU" sz="1100" b="0" i="0" u="none" strike="noStrike" baseline="0">
              <a:solidFill>
                <a:srgbClr val="000000"/>
              </a:solidFill>
              <a:latin typeface="+mn-lt"/>
            </a:rPr>
            <a:t>All tabs have a link to the index tab in the top left. Clicking on this logo will 		return you to the index page. Alternately, navigate through the named 		tabs at the bottom of the screen.</a:t>
          </a:r>
        </a:p>
        <a:p>
          <a:pPr algn="l" rtl="0">
            <a:defRPr sz="1000"/>
          </a:pPr>
          <a:endParaRPr lang="en-AU" sz="1100" b="0" i="0" u="none" strike="noStrike" baseline="0">
            <a:solidFill>
              <a:srgbClr val="000000"/>
            </a:solidFill>
            <a:latin typeface="+mn-lt"/>
          </a:endParaRPr>
        </a:p>
        <a:p>
          <a:pPr rtl="0"/>
          <a:r>
            <a:rPr lang="en-AU" sz="1100" b="1" i="0" baseline="0">
              <a:effectLst/>
              <a:latin typeface="+mn-lt"/>
              <a:ea typeface="+mn-ea"/>
              <a:cs typeface="+mn-cs"/>
            </a:rPr>
            <a:t>Dynamic Graphs: 	</a:t>
          </a:r>
          <a:r>
            <a:rPr lang="en-AU" sz="1100" b="0" i="0" baseline="0">
              <a:effectLst/>
              <a:latin typeface="+mn-lt"/>
              <a:ea typeface="+mn-ea"/>
              <a:cs typeface="+mn-cs"/>
            </a:rPr>
            <a:t>Several of the charts and graphs in this workbook are dynamic, i.e. they 		can display more than one set of data. To the right, you can see some 		examples of cells formatted for input.  Where you see similar cells 		throughout the workbook, you may click on them to manipulate displayed 		data.</a:t>
          </a:r>
          <a:endParaRPr lang="en-AU">
            <a:effectLst/>
          </a:endParaRPr>
        </a:p>
        <a:p>
          <a:pPr rtl="0"/>
          <a:r>
            <a:rPr lang="en-AU" sz="1100" b="0" i="0" baseline="0">
              <a:effectLst/>
              <a:latin typeface="+mn-lt"/>
              <a:ea typeface="+mn-ea"/>
              <a:cs typeface="+mn-cs"/>
            </a:rPr>
            <a:t>		</a:t>
          </a:r>
        </a:p>
        <a:p>
          <a:pPr rtl="0"/>
          <a:r>
            <a:rPr lang="en-AU" sz="1100" b="0" i="0" baseline="0">
              <a:effectLst/>
              <a:latin typeface="+mn-lt"/>
              <a:ea typeface="+mn-ea"/>
              <a:cs typeface="+mn-cs"/>
            </a:rPr>
            <a:t>		Note that all the raw data underpinning these dynamic tables and graphs 		is available within the workbook, though not necessarily within the same 		tab. For example, the raw data that populates the "Calendar Year 		Employment" tab is found in the "Historic Employment 			Monthly" tab.</a:t>
          </a:r>
          <a:endParaRPr lang="en-AU">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745697</xdr:colOff>
      <xdr:row>4</xdr:row>
      <xdr:rowOff>7251</xdr:rowOff>
    </xdr:to>
    <xdr:pic>
      <xdr:nvPicPr>
        <xdr:cNvPr id="2" name="Picture 1">
          <a:hlinkClick xmlns:r="http://schemas.openxmlformats.org/officeDocument/2006/relationships" r:id="rId1"/>
          <a:extLst>
            <a:ext uri="{FF2B5EF4-FFF2-40B4-BE49-F238E27FC236}">
              <a16:creationId xmlns:a16="http://schemas.microsoft.com/office/drawing/2014/main" id="{9F26E443-09F9-40BB-925B-3A252E8D01E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twoCellAnchor editAs="oneCell">
    <xdr:from>
      <xdr:col>11</xdr:col>
      <xdr:colOff>0</xdr:colOff>
      <xdr:row>18</xdr:row>
      <xdr:rowOff>0</xdr:rowOff>
    </xdr:from>
    <xdr:to>
      <xdr:col>18</xdr:col>
      <xdr:colOff>132450</xdr:colOff>
      <xdr:row>40</xdr:row>
      <xdr:rowOff>119475</xdr:rowOff>
    </xdr:to>
    <xdr:graphicFrame macro="">
      <xdr:nvGraphicFramePr>
        <xdr:cNvPr id="4" name="Chart 3">
          <a:extLst>
            <a:ext uri="{FF2B5EF4-FFF2-40B4-BE49-F238E27FC236}">
              <a16:creationId xmlns:a16="http://schemas.microsoft.com/office/drawing/2014/main" id="{476F9412-7DE0-497A-AA99-3FB0579922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11</xdr:col>
      <xdr:colOff>0</xdr:colOff>
      <xdr:row>42</xdr:row>
      <xdr:rowOff>0</xdr:rowOff>
    </xdr:from>
    <xdr:to>
      <xdr:col>18</xdr:col>
      <xdr:colOff>132450</xdr:colOff>
      <xdr:row>46</xdr:row>
      <xdr:rowOff>138000</xdr:rowOff>
    </xdr:to>
    <xdr:sp macro="" textlink="">
      <xdr:nvSpPr>
        <xdr:cNvPr id="6" name="TextBox 5">
          <a:extLst>
            <a:ext uri="{FF2B5EF4-FFF2-40B4-BE49-F238E27FC236}">
              <a16:creationId xmlns:a16="http://schemas.microsoft.com/office/drawing/2014/main" id="{AF54838B-6A68-4D23-8C07-2483C1F6E5B8}"/>
            </a:ext>
          </a:extLst>
        </xdr:cNvPr>
        <xdr:cNvSpPr txBox="1"/>
      </xdr:nvSpPr>
      <xdr:spPr>
        <a:xfrm>
          <a:off x="6800850" y="8610600"/>
          <a:ext cx="7200000" cy="90000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The mining economic</a:t>
          </a:r>
          <a:r>
            <a:rPr lang="en-AU" sz="1100" baseline="0"/>
            <a:t> impact</a:t>
          </a:r>
          <a:r>
            <a:rPr lang="en-AU" sz="1100"/>
            <a:t> figures reported by the ABS do not capture the mining</a:t>
          </a:r>
          <a:r>
            <a:rPr lang="en-AU" sz="1100" baseline="0"/>
            <a:t> and petroleum industry's total contribution</a:t>
          </a:r>
          <a:r>
            <a:rPr lang="en-AU" sz="1100"/>
            <a:t>.  Mining is broadly defined by the ABS as the extraction of minerals occurring naturally as solids such as coal and ores, and liquids such as crude petroleum and natural gas.  Downstream mining activities such as smelting of minerals or ores (other than preliminary smelting of gold) or refining</a:t>
          </a:r>
          <a:r>
            <a:rPr lang="en-AU" sz="1100">
              <a:solidFill>
                <a:schemeClr val="dk1"/>
              </a:solidFill>
              <a:effectLst/>
              <a:latin typeface="+mn-lt"/>
              <a:ea typeface="+mn-ea"/>
              <a:cs typeface="+mn-cs"/>
            </a:rPr>
            <a:t>, and LNG production, </a:t>
          </a:r>
          <a:r>
            <a:rPr lang="en-AU" sz="1100"/>
            <a:t>are classified as manufacturing activities.</a:t>
          </a:r>
        </a:p>
        <a:p>
          <a:endParaRPr lang="en-AU" sz="1100" baseline="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2622122</xdr:colOff>
      <xdr:row>3</xdr:row>
      <xdr:rowOff>188226</xdr:rowOff>
    </xdr:to>
    <xdr:pic>
      <xdr:nvPicPr>
        <xdr:cNvPr id="2" name="Picture 1">
          <a:hlinkClick xmlns:r="http://schemas.openxmlformats.org/officeDocument/2006/relationships" r:id="rId1"/>
          <a:extLst>
            <a:ext uri="{FF2B5EF4-FFF2-40B4-BE49-F238E27FC236}">
              <a16:creationId xmlns:a16="http://schemas.microsoft.com/office/drawing/2014/main" id="{4B46D950-FF60-4C09-98C5-21074D09774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twoCellAnchor>
    <xdr:from>
      <xdr:col>6</xdr:col>
      <xdr:colOff>0</xdr:colOff>
      <xdr:row>6</xdr:row>
      <xdr:rowOff>0</xdr:rowOff>
    </xdr:from>
    <xdr:to>
      <xdr:col>17</xdr:col>
      <xdr:colOff>543706</xdr:colOff>
      <xdr:row>29</xdr:row>
      <xdr:rowOff>107294</xdr:rowOff>
    </xdr:to>
    <xdr:graphicFrame macro="">
      <xdr:nvGraphicFramePr>
        <xdr:cNvPr id="3" name="Chart 2">
          <a:extLst>
            <a:ext uri="{FF2B5EF4-FFF2-40B4-BE49-F238E27FC236}">
              <a16:creationId xmlns:a16="http://schemas.microsoft.com/office/drawing/2014/main" id="{91592D9A-F8A2-4EC9-A8D5-5F41A38CFF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xdr:col>
      <xdr:colOff>0</xdr:colOff>
      <xdr:row>31</xdr:row>
      <xdr:rowOff>0</xdr:rowOff>
    </xdr:from>
    <xdr:to>
      <xdr:col>17</xdr:col>
      <xdr:colOff>543706</xdr:colOff>
      <xdr:row>54</xdr:row>
      <xdr:rowOff>118500</xdr:rowOff>
    </xdr:to>
    <xdr:graphicFrame macro="">
      <xdr:nvGraphicFramePr>
        <xdr:cNvPr id="4" name="Chart 3">
          <a:extLst>
            <a:ext uri="{FF2B5EF4-FFF2-40B4-BE49-F238E27FC236}">
              <a16:creationId xmlns:a16="http://schemas.microsoft.com/office/drawing/2014/main" id="{C147D4D5-4203-4219-BC67-C6C2F6B20C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cdr:x>
      <cdr:y>0.94294</cdr:y>
    </cdr:from>
    <cdr:to>
      <cdr:x>0.53137</cdr:x>
      <cdr:y>1</cdr:y>
    </cdr:to>
    <cdr:sp macro="" textlink="">
      <cdr:nvSpPr>
        <cdr:cNvPr id="2" name="TextBox 1">
          <a:extLst xmlns:a="http://schemas.openxmlformats.org/drawingml/2006/main">
            <a:ext uri="{FF2B5EF4-FFF2-40B4-BE49-F238E27FC236}">
              <a16:creationId xmlns:a16="http://schemas.microsoft.com/office/drawing/2014/main" id="{00000000-0008-0000-1100-000005000000}"/>
            </a:ext>
          </a:extLst>
        </cdr:cNvPr>
        <cdr:cNvSpPr txBox="1"/>
      </cdr:nvSpPr>
      <cdr:spPr>
        <a:xfrm xmlns:a="http://schemas.openxmlformats.org/drawingml/2006/main">
          <a:off x="0" y="4290912"/>
          <a:ext cx="3968059" cy="2596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900" b="1">
              <a:latin typeface="+mn-lt"/>
            </a:rPr>
            <a:t>Source:  DEMIRS</a:t>
          </a:r>
          <a:r>
            <a:rPr lang="en-AU" sz="900" b="1" baseline="0">
              <a:latin typeface="+mn-lt"/>
            </a:rPr>
            <a:t> and ABS</a:t>
          </a:r>
          <a:endParaRPr lang="en-AU" sz="900" b="1">
            <a:latin typeface="+mn-lt"/>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cdr:x>
      <cdr:y>0.94883</cdr:y>
    </cdr:from>
    <cdr:to>
      <cdr:x>0.35107</cdr:x>
      <cdr:y>1</cdr:y>
    </cdr:to>
    <cdr:sp macro="" textlink="">
      <cdr:nvSpPr>
        <cdr:cNvPr id="2" name="TextBox 1"/>
        <cdr:cNvSpPr txBox="1"/>
      </cdr:nvSpPr>
      <cdr:spPr>
        <a:xfrm xmlns:a="http://schemas.openxmlformats.org/drawingml/2006/main">
          <a:off x="0" y="4371795"/>
          <a:ext cx="2429404" cy="23578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900" b="1">
              <a:latin typeface="+mn-lt"/>
            </a:rPr>
            <a:t>Source:  DEMIRS and ABS</a:t>
          </a:r>
        </a:p>
      </cdr:txBody>
    </cdr:sp>
  </cdr:relSizeAnchor>
</c:userShapes>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2622122</xdr:colOff>
      <xdr:row>4</xdr:row>
      <xdr:rowOff>7251</xdr:rowOff>
    </xdr:to>
    <xdr:pic>
      <xdr:nvPicPr>
        <xdr:cNvPr id="2" name="Picture 1">
          <a:hlinkClick xmlns:r="http://schemas.openxmlformats.org/officeDocument/2006/relationships" r:id="rId1"/>
          <a:extLst>
            <a:ext uri="{FF2B5EF4-FFF2-40B4-BE49-F238E27FC236}">
              <a16:creationId xmlns:a16="http://schemas.microsoft.com/office/drawing/2014/main" id="{331D64EF-35C4-473F-9D7E-085A4C81D9F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twoCellAnchor>
    <xdr:from>
      <xdr:col>0</xdr:col>
      <xdr:colOff>0</xdr:colOff>
      <xdr:row>42</xdr:row>
      <xdr:rowOff>0</xdr:rowOff>
    </xdr:from>
    <xdr:to>
      <xdr:col>6</xdr:col>
      <xdr:colOff>261408</xdr:colOff>
      <xdr:row>45</xdr:row>
      <xdr:rowOff>156632</xdr:rowOff>
    </xdr:to>
    <xdr:sp macro="" textlink="">
      <xdr:nvSpPr>
        <xdr:cNvPr id="4" name="TextBox 3">
          <a:extLst>
            <a:ext uri="{FF2B5EF4-FFF2-40B4-BE49-F238E27FC236}">
              <a16:creationId xmlns:a16="http://schemas.microsoft.com/office/drawing/2014/main" id="{25FB7EF6-D37C-4EE2-8A3E-C4BEFDB63B90}"/>
            </a:ext>
          </a:extLst>
        </xdr:cNvPr>
        <xdr:cNvSpPr txBox="1"/>
      </xdr:nvSpPr>
      <xdr:spPr>
        <a:xfrm>
          <a:off x="0" y="7658100"/>
          <a:ext cx="10348383" cy="728132"/>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solidFill>
                <a:schemeClr val="dk1"/>
              </a:solidFill>
              <a:effectLst/>
              <a:latin typeface="+mn-lt"/>
              <a:ea typeface="+mn-ea"/>
              <a:cs typeface="+mn-cs"/>
            </a:rPr>
            <a:t>Mineral and petroleum exports include gold, mineral sands, and nickel refined or processed in Western Australia but produced </a:t>
          </a:r>
          <a:r>
            <a:rPr lang="en-AU" sz="1100" baseline="0">
              <a:solidFill>
                <a:schemeClr val="dk1"/>
              </a:solidFill>
              <a:effectLst/>
              <a:latin typeface="+mn-lt"/>
              <a:ea typeface="+mn-ea"/>
              <a:cs typeface="+mn-cs"/>
            </a:rPr>
            <a:t>in other State and Territories or overseas.</a:t>
          </a:r>
        </a:p>
        <a:p>
          <a:endParaRPr lang="en-AU" sz="1100" baseline="0">
            <a:solidFill>
              <a:schemeClr val="dk1"/>
            </a:solidFill>
            <a:effectLst/>
            <a:latin typeface="+mn-lt"/>
            <a:ea typeface="+mn-ea"/>
            <a:cs typeface="+mn-cs"/>
          </a:endParaRPr>
        </a:p>
        <a:p>
          <a:r>
            <a:rPr lang="en-AU" baseline="0">
              <a:effectLst/>
            </a:rPr>
            <a:t>n/a is not available. Where data is n/a, an estimate may be included in Other.</a:t>
          </a:r>
          <a:endParaRPr lang="en-AU">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679022</xdr:colOff>
      <xdr:row>4</xdr:row>
      <xdr:rowOff>7251</xdr:rowOff>
    </xdr:to>
    <xdr:pic>
      <xdr:nvPicPr>
        <xdr:cNvPr id="2" name="Picture 1">
          <a:hlinkClick xmlns:r="http://schemas.openxmlformats.org/officeDocument/2006/relationships" r:id="rId1"/>
          <a:extLst>
            <a:ext uri="{FF2B5EF4-FFF2-40B4-BE49-F238E27FC236}">
              <a16:creationId xmlns:a16="http://schemas.microsoft.com/office/drawing/2014/main" id="{D120F3AD-6BC4-414B-BCF2-4DB370D9870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twoCellAnchor editAs="oneCell">
    <xdr:from>
      <xdr:col>10</xdr:col>
      <xdr:colOff>0</xdr:colOff>
      <xdr:row>18</xdr:row>
      <xdr:rowOff>0</xdr:rowOff>
    </xdr:from>
    <xdr:to>
      <xdr:col>16</xdr:col>
      <xdr:colOff>1235647</xdr:colOff>
      <xdr:row>38</xdr:row>
      <xdr:rowOff>150000</xdr:rowOff>
    </xdr:to>
    <xdr:graphicFrame macro="">
      <xdr:nvGraphicFramePr>
        <xdr:cNvPr id="6" name="Chart 5">
          <a:extLst>
            <a:ext uri="{FF2B5EF4-FFF2-40B4-BE49-F238E27FC236}">
              <a16:creationId xmlns:a16="http://schemas.microsoft.com/office/drawing/2014/main" id="{AE398F0A-9CFD-4874-9A44-ED69CA643F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0</xdr:colOff>
      <xdr:row>40</xdr:row>
      <xdr:rowOff>0</xdr:rowOff>
    </xdr:from>
    <xdr:to>
      <xdr:col>16</xdr:col>
      <xdr:colOff>1235647</xdr:colOff>
      <xdr:row>49</xdr:row>
      <xdr:rowOff>85500</xdr:rowOff>
    </xdr:to>
    <xdr:sp macro="" textlink="">
      <xdr:nvSpPr>
        <xdr:cNvPr id="7" name="TextBox 6">
          <a:extLst>
            <a:ext uri="{FF2B5EF4-FFF2-40B4-BE49-F238E27FC236}">
              <a16:creationId xmlns:a16="http://schemas.microsoft.com/office/drawing/2014/main" id="{2C4B6956-7D3D-4FC4-837D-414148AFEC2C}"/>
            </a:ext>
          </a:extLst>
        </xdr:cNvPr>
        <xdr:cNvSpPr txBox="1"/>
      </xdr:nvSpPr>
      <xdr:spPr>
        <a:xfrm>
          <a:off x="8057029" y="8415618"/>
          <a:ext cx="6480000" cy="180000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The mining investment figures reported by the ABS do not capture all mining investment.  Mining is broadly defined by the ABS as the extraction of minerals occurring naturally as solids such as coal and ores, and liquids such as crude petroleum and natural gas.  Downstream mining activities such as smelting of minerals or ores (other than preliminary smelting of gold) or refining</a:t>
          </a:r>
          <a:r>
            <a:rPr lang="en-AU" sz="1100">
              <a:solidFill>
                <a:schemeClr val="dk1"/>
              </a:solidFill>
              <a:effectLst/>
              <a:latin typeface="+mn-lt"/>
              <a:ea typeface="+mn-ea"/>
              <a:cs typeface="+mn-cs"/>
            </a:rPr>
            <a:t>, and LNG production, </a:t>
          </a:r>
          <a:r>
            <a:rPr lang="en-AU" sz="1100"/>
            <a:t>are classified as manufacturing activities.</a:t>
          </a:r>
        </a:p>
        <a:p>
          <a:endParaRPr lang="en-AU" sz="1100" baseline="0"/>
        </a:p>
        <a:p>
          <a:pPr marL="0" marR="0" lvl="0" indent="0" defTabSz="914400" eaLnBrk="1" fontAlgn="auto" latinLnBrk="0" hangingPunct="1">
            <a:lnSpc>
              <a:spcPct val="100000"/>
            </a:lnSpc>
            <a:spcBef>
              <a:spcPts val="0"/>
            </a:spcBef>
            <a:spcAft>
              <a:spcPts val="0"/>
            </a:spcAft>
            <a:buClrTx/>
            <a:buSzTx/>
            <a:buFontTx/>
            <a:buNone/>
            <a:tabLst/>
            <a:defRPr/>
          </a:pPr>
          <a:r>
            <a:rPr lang="en-AU" sz="1100" baseline="0">
              <a:solidFill>
                <a:schemeClr val="dk1"/>
              </a:solidFill>
              <a:effectLst/>
              <a:latin typeface="+mn-lt"/>
              <a:ea typeface="+mn-ea"/>
              <a:cs typeface="+mn-cs"/>
            </a:rPr>
            <a:t>The ABS made changes to its capital expenditure data in December 2020 to capture the Education and Training and Health Care and Social Assistance industries. The mining share of Western Australia New Capital Expenditure has been updated to reflect this change.</a:t>
          </a:r>
          <a:endParaRPr lang="en-AU">
            <a:effectLst/>
          </a:endParaRPr>
        </a:p>
        <a:p>
          <a:endParaRPr lang="en-AU" sz="1100" baseline="0"/>
        </a:p>
      </xdr:txBody>
    </xdr:sp>
    <xdr:clientData/>
  </xdr:twoCellAnchor>
  <xdr:twoCellAnchor editAs="oneCell">
    <xdr:from>
      <xdr:col>18</xdr:col>
      <xdr:colOff>0</xdr:colOff>
      <xdr:row>18</xdr:row>
      <xdr:rowOff>0</xdr:rowOff>
    </xdr:from>
    <xdr:to>
      <xdr:col>24</xdr:col>
      <xdr:colOff>966706</xdr:colOff>
      <xdr:row>38</xdr:row>
      <xdr:rowOff>150000</xdr:rowOff>
    </xdr:to>
    <xdr:graphicFrame macro="">
      <xdr:nvGraphicFramePr>
        <xdr:cNvPr id="8" name="Chart 7">
          <a:extLst>
            <a:ext uri="{FF2B5EF4-FFF2-40B4-BE49-F238E27FC236}">
              <a16:creationId xmlns:a16="http://schemas.microsoft.com/office/drawing/2014/main" id="{FF586417-4436-441F-8854-F9FF1FCBAB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231347</xdr:colOff>
      <xdr:row>4</xdr:row>
      <xdr:rowOff>7251</xdr:rowOff>
    </xdr:to>
    <xdr:pic>
      <xdr:nvPicPr>
        <xdr:cNvPr id="2" name="Picture 1">
          <a:hlinkClick xmlns:r="http://schemas.openxmlformats.org/officeDocument/2006/relationships" r:id="rId1"/>
          <a:extLst>
            <a:ext uri="{FF2B5EF4-FFF2-40B4-BE49-F238E27FC236}">
              <a16:creationId xmlns:a16="http://schemas.microsoft.com/office/drawing/2014/main" id="{D9636FE8-CC4A-4742-845B-8B328231A3F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50372</xdr:colOff>
      <xdr:row>4</xdr:row>
      <xdr:rowOff>7251</xdr:rowOff>
    </xdr:to>
    <xdr:pic>
      <xdr:nvPicPr>
        <xdr:cNvPr id="2" name="Picture 1">
          <a:hlinkClick xmlns:r="http://schemas.openxmlformats.org/officeDocument/2006/relationships" r:id="rId1"/>
          <a:extLst>
            <a:ext uri="{FF2B5EF4-FFF2-40B4-BE49-F238E27FC236}">
              <a16:creationId xmlns:a16="http://schemas.microsoft.com/office/drawing/2014/main" id="{1FA6A1EF-6B9A-44A6-8F1C-AA6A2CF8DCB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twoCellAnchor editAs="oneCell">
    <xdr:from>
      <xdr:col>7</xdr:col>
      <xdr:colOff>0</xdr:colOff>
      <xdr:row>20</xdr:row>
      <xdr:rowOff>0</xdr:rowOff>
    </xdr:from>
    <xdr:to>
      <xdr:col>12</xdr:col>
      <xdr:colOff>312529</xdr:colOff>
      <xdr:row>38</xdr:row>
      <xdr:rowOff>171000</xdr:rowOff>
    </xdr:to>
    <xdr:graphicFrame macro="">
      <xdr:nvGraphicFramePr>
        <xdr:cNvPr id="3" name="Chart 2">
          <a:extLst>
            <a:ext uri="{FF2B5EF4-FFF2-40B4-BE49-F238E27FC236}">
              <a16:creationId xmlns:a16="http://schemas.microsoft.com/office/drawing/2014/main" id="{73BB12A3-2E34-43B6-81D5-30079B55DD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13</xdr:col>
      <xdr:colOff>0</xdr:colOff>
      <xdr:row>20</xdr:row>
      <xdr:rowOff>0</xdr:rowOff>
    </xdr:from>
    <xdr:to>
      <xdr:col>18</xdr:col>
      <xdr:colOff>312530</xdr:colOff>
      <xdr:row>38</xdr:row>
      <xdr:rowOff>171000</xdr:rowOff>
    </xdr:to>
    <xdr:graphicFrame macro="">
      <xdr:nvGraphicFramePr>
        <xdr:cNvPr id="4" name="Chart 3">
          <a:extLst>
            <a:ext uri="{FF2B5EF4-FFF2-40B4-BE49-F238E27FC236}">
              <a16:creationId xmlns:a16="http://schemas.microsoft.com/office/drawing/2014/main" id="{8391C2B1-2DF4-46F1-B384-F9B27B262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846390</xdr:colOff>
      <xdr:row>4</xdr:row>
      <xdr:rowOff>7251</xdr:rowOff>
    </xdr:to>
    <xdr:pic>
      <xdr:nvPicPr>
        <xdr:cNvPr id="2" name="Picture 1">
          <a:hlinkClick xmlns:r="http://schemas.openxmlformats.org/officeDocument/2006/relationships" r:id="rId1"/>
          <a:extLst>
            <a:ext uri="{FF2B5EF4-FFF2-40B4-BE49-F238E27FC236}">
              <a16:creationId xmlns:a16="http://schemas.microsoft.com/office/drawing/2014/main" id="{E85B6C5D-195D-4FBC-9B24-F83F7084B46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twoCellAnchor editAs="oneCell">
    <xdr:from>
      <xdr:col>12</xdr:col>
      <xdr:colOff>0</xdr:colOff>
      <xdr:row>18</xdr:row>
      <xdr:rowOff>0</xdr:rowOff>
    </xdr:from>
    <xdr:to>
      <xdr:col>22</xdr:col>
      <xdr:colOff>1677</xdr:colOff>
      <xdr:row>50</xdr:row>
      <xdr:rowOff>24000</xdr:rowOff>
    </xdr:to>
    <xdr:graphicFrame macro="">
      <xdr:nvGraphicFramePr>
        <xdr:cNvPr id="3" name="Chart 2">
          <a:extLst>
            <a:ext uri="{FF2B5EF4-FFF2-40B4-BE49-F238E27FC236}">
              <a16:creationId xmlns:a16="http://schemas.microsoft.com/office/drawing/2014/main" id="{796F4B7D-CD5E-4A37-874F-3B9A8B01CE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23</xdr:col>
      <xdr:colOff>0</xdr:colOff>
      <xdr:row>18</xdr:row>
      <xdr:rowOff>0</xdr:rowOff>
    </xdr:from>
    <xdr:to>
      <xdr:col>32</xdr:col>
      <xdr:colOff>741265</xdr:colOff>
      <xdr:row>50</xdr:row>
      <xdr:rowOff>24000</xdr:rowOff>
    </xdr:to>
    <xdr:graphicFrame macro="">
      <xdr:nvGraphicFramePr>
        <xdr:cNvPr id="4" name="Chart 3">
          <a:extLst>
            <a:ext uri="{FF2B5EF4-FFF2-40B4-BE49-F238E27FC236}">
              <a16:creationId xmlns:a16="http://schemas.microsoft.com/office/drawing/2014/main" id="{60E9727C-B503-4A4E-A0C2-071A5A6D3D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707597</xdr:colOff>
      <xdr:row>4</xdr:row>
      <xdr:rowOff>7251</xdr:rowOff>
    </xdr:to>
    <xdr:pic>
      <xdr:nvPicPr>
        <xdr:cNvPr id="2" name="Picture 1">
          <a:hlinkClick xmlns:r="http://schemas.openxmlformats.org/officeDocument/2006/relationships" r:id="rId1"/>
          <a:extLst>
            <a:ext uri="{FF2B5EF4-FFF2-40B4-BE49-F238E27FC236}">
              <a16:creationId xmlns:a16="http://schemas.microsoft.com/office/drawing/2014/main" id="{F40F9877-623E-4B4D-999D-81E8816043E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twoCellAnchor editAs="oneCell">
    <xdr:from>
      <xdr:col>7</xdr:col>
      <xdr:colOff>0</xdr:colOff>
      <xdr:row>4</xdr:row>
      <xdr:rowOff>190499</xdr:rowOff>
    </xdr:from>
    <xdr:to>
      <xdr:col>16</xdr:col>
      <xdr:colOff>486600</xdr:colOff>
      <xdr:row>30</xdr:row>
      <xdr:rowOff>151724</xdr:rowOff>
    </xdr:to>
    <xdr:graphicFrame macro="">
      <xdr:nvGraphicFramePr>
        <xdr:cNvPr id="3" name="Chart 2">
          <a:extLst>
            <a:ext uri="{FF2B5EF4-FFF2-40B4-BE49-F238E27FC236}">
              <a16:creationId xmlns:a16="http://schemas.microsoft.com/office/drawing/2014/main" id="{E01371D3-E3B3-4A6C-A244-6D8821F218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831422</xdr:colOff>
      <xdr:row>4</xdr:row>
      <xdr:rowOff>7251</xdr:rowOff>
    </xdr:to>
    <xdr:pic>
      <xdr:nvPicPr>
        <xdr:cNvPr id="2" name="Picture 1">
          <a:hlinkClick xmlns:r="http://schemas.openxmlformats.org/officeDocument/2006/relationships" r:id="rId1"/>
          <a:extLst>
            <a:ext uri="{FF2B5EF4-FFF2-40B4-BE49-F238E27FC236}">
              <a16:creationId xmlns:a16="http://schemas.microsoft.com/office/drawing/2014/main" id="{E4ADCDE7-EC90-48AF-BC55-610B029FA3D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twoCellAnchor editAs="oneCell">
    <xdr:from>
      <xdr:col>7</xdr:col>
      <xdr:colOff>0</xdr:colOff>
      <xdr:row>18</xdr:row>
      <xdr:rowOff>0</xdr:rowOff>
    </xdr:from>
    <xdr:to>
      <xdr:col>12</xdr:col>
      <xdr:colOff>66000</xdr:colOff>
      <xdr:row>36</xdr:row>
      <xdr:rowOff>171000</xdr:rowOff>
    </xdr:to>
    <xdr:graphicFrame macro="">
      <xdr:nvGraphicFramePr>
        <xdr:cNvPr id="8" name="Chart 7">
          <a:extLst>
            <a:ext uri="{FF2B5EF4-FFF2-40B4-BE49-F238E27FC236}">
              <a16:creationId xmlns:a16="http://schemas.microsoft.com/office/drawing/2014/main" id="{A8BEC8E2-D30D-4701-B81E-EAF41A8010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13</xdr:col>
      <xdr:colOff>0</xdr:colOff>
      <xdr:row>18</xdr:row>
      <xdr:rowOff>0</xdr:rowOff>
    </xdr:from>
    <xdr:to>
      <xdr:col>18</xdr:col>
      <xdr:colOff>66000</xdr:colOff>
      <xdr:row>36</xdr:row>
      <xdr:rowOff>171000</xdr:rowOff>
    </xdr:to>
    <xdr:graphicFrame macro="">
      <xdr:nvGraphicFramePr>
        <xdr:cNvPr id="9" name="Chart 8">
          <a:extLst>
            <a:ext uri="{FF2B5EF4-FFF2-40B4-BE49-F238E27FC236}">
              <a16:creationId xmlns:a16="http://schemas.microsoft.com/office/drawing/2014/main" id="{D54D26D3-BBA0-4F5E-9955-922E59CE3B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526622</xdr:colOff>
      <xdr:row>3</xdr:row>
      <xdr:rowOff>140601</xdr:rowOff>
    </xdr:to>
    <xdr:pic>
      <xdr:nvPicPr>
        <xdr:cNvPr id="2" name="Picture 1">
          <a:hlinkClick xmlns:r="http://schemas.openxmlformats.org/officeDocument/2006/relationships" r:id="rId1"/>
          <a:extLst>
            <a:ext uri="{FF2B5EF4-FFF2-40B4-BE49-F238E27FC236}">
              <a16:creationId xmlns:a16="http://schemas.microsoft.com/office/drawing/2014/main" id="{1B764499-27AA-4025-8F04-3416AE46D6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twoCellAnchor editAs="oneCell">
    <xdr:from>
      <xdr:col>22</xdr:col>
      <xdr:colOff>0</xdr:colOff>
      <xdr:row>18</xdr:row>
      <xdr:rowOff>0</xdr:rowOff>
    </xdr:from>
    <xdr:to>
      <xdr:col>29</xdr:col>
      <xdr:colOff>484650</xdr:colOff>
      <xdr:row>44</xdr:row>
      <xdr:rowOff>87000</xdr:rowOff>
    </xdr:to>
    <xdr:graphicFrame macro="">
      <xdr:nvGraphicFramePr>
        <xdr:cNvPr id="5" name="Chart 4">
          <a:extLst>
            <a:ext uri="{FF2B5EF4-FFF2-40B4-BE49-F238E27FC236}">
              <a16:creationId xmlns:a16="http://schemas.microsoft.com/office/drawing/2014/main" id="{4B063FB3-D9A5-40F9-821D-08E9924403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13</xdr:col>
      <xdr:colOff>0</xdr:colOff>
      <xdr:row>18</xdr:row>
      <xdr:rowOff>0</xdr:rowOff>
    </xdr:from>
    <xdr:to>
      <xdr:col>20</xdr:col>
      <xdr:colOff>798975</xdr:colOff>
      <xdr:row>44</xdr:row>
      <xdr:rowOff>87000</xdr:rowOff>
    </xdr:to>
    <xdr:graphicFrame macro="">
      <xdr:nvGraphicFramePr>
        <xdr:cNvPr id="6" name="Chart 5">
          <a:extLst>
            <a:ext uri="{FF2B5EF4-FFF2-40B4-BE49-F238E27FC236}">
              <a16:creationId xmlns:a16="http://schemas.microsoft.com/office/drawing/2014/main" id="{1EAB8C09-0A32-4160-AAEB-54C38494EB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0</xdr:colOff>
      <xdr:row>46</xdr:row>
      <xdr:rowOff>0</xdr:rowOff>
    </xdr:from>
    <xdr:to>
      <xdr:col>15</xdr:col>
      <xdr:colOff>178253</xdr:colOff>
      <xdr:row>47</xdr:row>
      <xdr:rowOff>124384</xdr:rowOff>
    </xdr:to>
    <xdr:sp macro="" textlink="">
      <xdr:nvSpPr>
        <xdr:cNvPr id="8" name="TextBox 7">
          <a:extLst>
            <a:ext uri="{FF2B5EF4-FFF2-40B4-BE49-F238E27FC236}">
              <a16:creationId xmlns:a16="http://schemas.microsoft.com/office/drawing/2014/main" id="{77566536-FD71-48AC-B64C-B1F030F16CAD}"/>
            </a:ext>
          </a:extLst>
        </xdr:cNvPr>
        <xdr:cNvSpPr txBox="1"/>
      </xdr:nvSpPr>
      <xdr:spPr>
        <a:xfrm>
          <a:off x="10848975" y="9220200"/>
          <a:ext cx="2197553" cy="314884"/>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050" b="0" i="0" u="none" strike="noStrike">
              <a:solidFill>
                <a:schemeClr val="dk1"/>
              </a:solidFill>
              <a:effectLst/>
              <a:latin typeface="Calibri" panose="020F0502020204030204" pitchFamily="34" charset="0"/>
              <a:ea typeface="+mn-ea"/>
              <a:cs typeface="Calibri" panose="020F0502020204030204" pitchFamily="34" charset="0"/>
            </a:rPr>
            <a:t>Data is in </a:t>
          </a:r>
          <a:r>
            <a:rPr lang="en-AU" sz="1050" b="0" i="0" u="none" strike="noStrike" baseline="0">
              <a:solidFill>
                <a:schemeClr val="dk1"/>
              </a:solidFill>
              <a:effectLst/>
              <a:latin typeface="Calibri" panose="020F0502020204030204" pitchFamily="34" charset="0"/>
              <a:ea typeface="+mn-ea"/>
              <a:cs typeface="Calibri" panose="020F0502020204030204" pitchFamily="34" charset="0"/>
            </a:rPr>
            <a:t>seasonally adjusted terms. </a:t>
          </a: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440897</xdr:colOff>
      <xdr:row>3</xdr:row>
      <xdr:rowOff>188226</xdr:rowOff>
    </xdr:to>
    <xdr:pic>
      <xdr:nvPicPr>
        <xdr:cNvPr id="3" name="Picture 2">
          <a:hlinkClick xmlns:r="http://schemas.openxmlformats.org/officeDocument/2006/relationships" r:id="rId1"/>
          <a:extLst>
            <a:ext uri="{FF2B5EF4-FFF2-40B4-BE49-F238E27FC236}">
              <a16:creationId xmlns:a16="http://schemas.microsoft.com/office/drawing/2014/main" id="{E5EE22A5-EF00-454E-96EA-004596BBF0E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twoCellAnchor editAs="oneCell">
    <xdr:from>
      <xdr:col>0</xdr:col>
      <xdr:colOff>0</xdr:colOff>
      <xdr:row>22</xdr:row>
      <xdr:rowOff>0</xdr:rowOff>
    </xdr:from>
    <xdr:to>
      <xdr:col>4</xdr:col>
      <xdr:colOff>405000</xdr:colOff>
      <xdr:row>35</xdr:row>
      <xdr:rowOff>43500</xdr:rowOff>
    </xdr:to>
    <xdr:sp macro="" textlink="">
      <xdr:nvSpPr>
        <xdr:cNvPr id="4" name="TextBox 3">
          <a:extLst>
            <a:ext uri="{FF2B5EF4-FFF2-40B4-BE49-F238E27FC236}">
              <a16:creationId xmlns:a16="http://schemas.microsoft.com/office/drawing/2014/main" id="{4C76A40D-2FFE-42C8-A9C5-F1D326B819AB}"/>
            </a:ext>
          </a:extLst>
        </xdr:cNvPr>
        <xdr:cNvSpPr txBox="1"/>
      </xdr:nvSpPr>
      <xdr:spPr>
        <a:xfrm>
          <a:off x="0" y="4581525"/>
          <a:ext cx="6120000" cy="252000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aseline="0"/>
            <a:t>All royalty revenue shown above is paid into the State's Consolidated Revenue Fund.  Added to the table, shown separately, is the State's share of the North West Shelf project royalty payments to the Commonwealth (which are provided as a grant from the Commonwealth to the State).</a:t>
          </a:r>
        </a:p>
        <a:p>
          <a:endParaRPr lang="en-AU" sz="1100" baseline="0"/>
        </a:p>
        <a:p>
          <a:r>
            <a:rPr lang="en-AU" sz="1100" baseline="0"/>
            <a:t>Included in the royalty receipts for petroleum is the both the State's and Commonwealth's share of royalties collected under the Western Australian </a:t>
          </a:r>
          <a:r>
            <a:rPr lang="en-AU" sz="1100" i="1" baseline="0"/>
            <a:t>Petroleum (Submerged Lands) Act 1967 </a:t>
          </a:r>
          <a:r>
            <a:rPr lang="en-AU" sz="1100" baseline="0"/>
            <a:t>(PSLA). The State's share of the Resource Rent Royalty under the </a:t>
          </a:r>
          <a:r>
            <a:rPr lang="en-AU" sz="1100" i="1" baseline="0"/>
            <a:t>Barrow Island Royalty Variation Agreement Act 1985</a:t>
          </a:r>
          <a:r>
            <a:rPr lang="en-AU" sz="1100" baseline="0"/>
            <a:t> is included, but the Commonwealth's share is not included.</a:t>
          </a:r>
        </a:p>
        <a:p>
          <a:endParaRPr lang="en-AU" sz="1100" baseline="0"/>
        </a:p>
        <a:p>
          <a:r>
            <a:rPr lang="en-AU" sz="1100" baseline="0"/>
            <a:t>Included in the State’s royalty receipts for iron ore is an additional lease rental amount which is currently applied under iron ore State Agreement Acts and the Mining Act. The rate is 25 cents per tonne. In the case of some older Agreement Acts, the rate is 25 cents per imperial ton. The additional lease rental applies to iron ore obtained from a mining lease following 15 years from the date the iron ore was first obtained from the mining tenement, by the lessee.</a:t>
          </a:r>
        </a:p>
        <a:p>
          <a:endParaRPr lang="en-AU" sz="1100"/>
        </a:p>
      </xdr:txBody>
    </xdr:sp>
    <xdr:clientData/>
  </xdr:twoCellAnchor>
  <xdr:twoCellAnchor editAs="oneCell">
    <xdr:from>
      <xdr:col>6</xdr:col>
      <xdr:colOff>0</xdr:colOff>
      <xdr:row>5</xdr:row>
      <xdr:rowOff>0</xdr:rowOff>
    </xdr:from>
    <xdr:to>
      <xdr:col>18</xdr:col>
      <xdr:colOff>244800</xdr:colOff>
      <xdr:row>21</xdr:row>
      <xdr:rowOff>494850</xdr:rowOff>
    </xdr:to>
    <xdr:graphicFrame macro="">
      <xdr:nvGraphicFramePr>
        <xdr:cNvPr id="2" name="Chart 1">
          <a:extLst>
            <a:ext uri="{FF2B5EF4-FFF2-40B4-BE49-F238E27FC236}">
              <a16:creationId xmlns:a16="http://schemas.microsoft.com/office/drawing/2014/main" id="{0716C650-221C-4A67-98AB-3A99CF532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xdr:col>
      <xdr:colOff>0</xdr:colOff>
      <xdr:row>23</xdr:row>
      <xdr:rowOff>0</xdr:rowOff>
    </xdr:from>
    <xdr:to>
      <xdr:col>18</xdr:col>
      <xdr:colOff>244800</xdr:colOff>
      <xdr:row>47</xdr:row>
      <xdr:rowOff>72000</xdr:rowOff>
    </xdr:to>
    <xdr:graphicFrame macro="">
      <xdr:nvGraphicFramePr>
        <xdr:cNvPr id="5" name="Chart 4">
          <a:extLst>
            <a:ext uri="{FF2B5EF4-FFF2-40B4-BE49-F238E27FC236}">
              <a16:creationId xmlns:a16="http://schemas.microsoft.com/office/drawing/2014/main" id="{81DA4466-F5C6-4A76-9EFD-7F8322EBE4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cdr:x>
      <cdr:y>0.91742</cdr:y>
    </cdr:from>
    <cdr:to>
      <cdr:x>0.53137</cdr:x>
      <cdr:y>1</cdr:y>
    </cdr:to>
    <cdr:sp macro="" textlink="">
      <cdr:nvSpPr>
        <cdr:cNvPr id="2" name="TextBox 1">
          <a:extLst xmlns:a="http://schemas.openxmlformats.org/drawingml/2006/main">
            <a:ext uri="{FF2B5EF4-FFF2-40B4-BE49-F238E27FC236}">
              <a16:creationId xmlns:a16="http://schemas.microsoft.com/office/drawing/2014/main" id="{00000000-0008-0000-1100-000005000000}"/>
            </a:ext>
          </a:extLst>
        </cdr:cNvPr>
        <cdr:cNvSpPr txBox="1"/>
      </cdr:nvSpPr>
      <cdr:spPr>
        <a:xfrm xmlns:a="http://schemas.openxmlformats.org/drawingml/2006/main">
          <a:off x="0" y="2516680"/>
          <a:ext cx="2429404" cy="2265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900" b="1">
              <a:latin typeface="+mn-lt"/>
            </a:rPr>
            <a:t>Source:  DEMIRS and WA Treasury</a:t>
          </a:r>
        </a:p>
      </cdr:txBody>
    </cdr:sp>
  </cdr:relSizeAnchor>
</c:userShapes>
</file>

<file path=xl/drawings/drawing18.xml><?xml version="1.0" encoding="utf-8"?>
<c:userShapes xmlns:c="http://schemas.openxmlformats.org/drawingml/2006/chart">
  <cdr:relSizeAnchor xmlns:cdr="http://schemas.openxmlformats.org/drawingml/2006/chartDrawing">
    <cdr:from>
      <cdr:x>0</cdr:x>
      <cdr:y>0.94883</cdr:y>
    </cdr:from>
    <cdr:to>
      <cdr:x>0.35107</cdr:x>
      <cdr:y>1</cdr:y>
    </cdr:to>
    <cdr:sp macro="" textlink="">
      <cdr:nvSpPr>
        <cdr:cNvPr id="2" name="TextBox 1"/>
        <cdr:cNvSpPr txBox="1"/>
      </cdr:nvSpPr>
      <cdr:spPr>
        <a:xfrm xmlns:a="http://schemas.openxmlformats.org/drawingml/2006/main">
          <a:off x="0" y="4371795"/>
          <a:ext cx="2429404" cy="23578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900" b="1">
              <a:latin typeface="+mn-lt"/>
            </a:rPr>
            <a:t>Source:  DEMIRS and WA Treasury</a:t>
          </a:r>
        </a:p>
      </cdr:txBody>
    </cdr:sp>
  </cdr:relSizeAnchor>
</c:userShapes>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2622122</xdr:colOff>
      <xdr:row>4</xdr:row>
      <xdr:rowOff>7251</xdr:rowOff>
    </xdr:to>
    <xdr:pic>
      <xdr:nvPicPr>
        <xdr:cNvPr id="2" name="Picture 1">
          <a:hlinkClick xmlns:r="http://schemas.openxmlformats.org/officeDocument/2006/relationships" r:id="rId1"/>
          <a:extLst>
            <a:ext uri="{FF2B5EF4-FFF2-40B4-BE49-F238E27FC236}">
              <a16:creationId xmlns:a16="http://schemas.microsoft.com/office/drawing/2014/main" id="{3B728701-3C1E-46F9-AABA-342B21CF808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twoCellAnchor editAs="oneCell">
    <xdr:from>
      <xdr:col>0</xdr:col>
      <xdr:colOff>0</xdr:colOff>
      <xdr:row>40</xdr:row>
      <xdr:rowOff>0</xdr:rowOff>
    </xdr:from>
    <xdr:to>
      <xdr:col>3</xdr:col>
      <xdr:colOff>316765</xdr:colOff>
      <xdr:row>44</xdr:row>
      <xdr:rowOff>138000</xdr:rowOff>
    </xdr:to>
    <xdr:sp macro="" textlink="">
      <xdr:nvSpPr>
        <xdr:cNvPr id="3" name="TextBox 2">
          <a:extLst>
            <a:ext uri="{FF2B5EF4-FFF2-40B4-BE49-F238E27FC236}">
              <a16:creationId xmlns:a16="http://schemas.microsoft.com/office/drawing/2014/main" id="{BE9F3B06-012A-49B9-B693-A3EB64E3D464}"/>
            </a:ext>
          </a:extLst>
        </xdr:cNvPr>
        <xdr:cNvSpPr txBox="1"/>
      </xdr:nvSpPr>
      <xdr:spPr>
        <a:xfrm>
          <a:off x="0" y="7664824"/>
          <a:ext cx="6480000" cy="90000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aseline="0"/>
            <a:t>From 1 July 2009, the flow of Commonwealth NWS grant monies, previously paid directly to DEMIRS, were paid to Treasury.</a:t>
          </a:r>
        </a:p>
        <a:p>
          <a:endParaRPr lang="en-AU" sz="1100" baseline="0"/>
        </a:p>
        <a:p>
          <a:r>
            <a:rPr lang="en-AU" sz="1100"/>
            <a:t>From 2009-10, Treasury removed NWS grants from its published royalty receipts table.</a:t>
          </a: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2622122</xdr:colOff>
      <xdr:row>3</xdr:row>
      <xdr:rowOff>169176</xdr:rowOff>
    </xdr:to>
    <xdr:pic>
      <xdr:nvPicPr>
        <xdr:cNvPr id="2" name="Picture 1">
          <a:hlinkClick xmlns:r="http://schemas.openxmlformats.org/officeDocument/2006/relationships" r:id="rId1"/>
          <a:extLst>
            <a:ext uri="{FF2B5EF4-FFF2-40B4-BE49-F238E27FC236}">
              <a16:creationId xmlns:a16="http://schemas.microsoft.com/office/drawing/2014/main" id="{3AE9CF3A-FBD0-44C6-AFCA-C835A6A5DE4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twoCellAnchor editAs="oneCell">
    <xdr:from>
      <xdr:col>0</xdr:col>
      <xdr:colOff>0</xdr:colOff>
      <xdr:row>23</xdr:row>
      <xdr:rowOff>0</xdr:rowOff>
    </xdr:from>
    <xdr:to>
      <xdr:col>0</xdr:col>
      <xdr:colOff>4860000</xdr:colOff>
      <xdr:row>65</xdr:row>
      <xdr:rowOff>128550</xdr:rowOff>
    </xdr:to>
    <xdr:sp macro="" textlink="">
      <xdr:nvSpPr>
        <xdr:cNvPr id="3" name="TextBox 2">
          <a:extLst>
            <a:ext uri="{FF2B5EF4-FFF2-40B4-BE49-F238E27FC236}">
              <a16:creationId xmlns:a16="http://schemas.microsoft.com/office/drawing/2014/main" id="{F6B2AB5C-2C97-4221-9E3E-6DEF813EB3B3}"/>
            </a:ext>
          </a:extLst>
        </xdr:cNvPr>
        <xdr:cNvSpPr txBox="1"/>
      </xdr:nvSpPr>
      <xdr:spPr>
        <a:xfrm>
          <a:off x="0" y="4448175"/>
          <a:ext cx="4860000" cy="792000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solidFill>
                <a:schemeClr val="dk1"/>
              </a:solidFill>
              <a:effectLst/>
              <a:latin typeface="+mn-lt"/>
              <a:ea typeface="+mn-ea"/>
              <a:cs typeface="+mn-cs"/>
            </a:rPr>
            <a:t>FTE is the number of full-time equivalents. It is based on the numbers of hours worked with an FTE considered to be 2,000</a:t>
          </a:r>
          <a:r>
            <a:rPr lang="en-AU" sz="1100" baseline="0">
              <a:solidFill>
                <a:schemeClr val="dk1"/>
              </a:solidFill>
              <a:effectLst/>
              <a:latin typeface="+mn-lt"/>
              <a:ea typeface="+mn-ea"/>
              <a:cs typeface="+mn-cs"/>
            </a:rPr>
            <a:t> hours worked in a year, 500 hours worked in a quarter, and 166.7 hours worked in a month.</a:t>
          </a:r>
          <a:endParaRPr lang="en-AU" sz="1100">
            <a:solidFill>
              <a:schemeClr val="dk1"/>
            </a:solidFill>
            <a:effectLst/>
            <a:latin typeface="+mn-lt"/>
            <a:ea typeface="+mn-ea"/>
            <a:cs typeface="+mn-cs"/>
          </a:endParaRPr>
        </a:p>
        <a:p>
          <a:endParaRPr lang="en-AU"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mn-cs"/>
            </a:rPr>
            <a:t>Data includes those mining and mineral exploration operations regulated under the </a:t>
          </a:r>
          <a:r>
            <a:rPr lang="en-AU" sz="1100" i="1">
              <a:solidFill>
                <a:schemeClr val="dk1"/>
              </a:solidFill>
              <a:effectLst/>
              <a:latin typeface="+mn-lt"/>
              <a:ea typeface="+mn-ea"/>
              <a:cs typeface="+mn-cs"/>
            </a:rPr>
            <a:t>Work Health and Safety Act 2020 </a:t>
          </a:r>
          <a:r>
            <a:rPr lang="en-AU" sz="1100">
              <a:solidFill>
                <a:schemeClr val="dk1"/>
              </a:solidFill>
              <a:effectLst/>
              <a:latin typeface="+mn-lt"/>
              <a:ea typeface="+mn-ea"/>
              <a:cs typeface="+mn-cs"/>
            </a:rPr>
            <a:t>and, prior to April 2022, the </a:t>
          </a:r>
          <a:r>
            <a:rPr lang="en-AU" sz="1100" i="1">
              <a:solidFill>
                <a:schemeClr val="dk1"/>
              </a:solidFill>
              <a:effectLst/>
              <a:latin typeface="+mn-lt"/>
              <a:ea typeface="+mn-ea"/>
              <a:cs typeface="+mn-cs"/>
            </a:rPr>
            <a:t>Mines Safety and Inspection Act 1994</a:t>
          </a:r>
          <a:r>
            <a:rPr lang="en-AU" sz="1100">
              <a:solidFill>
                <a:schemeClr val="dk1"/>
              </a:solidFill>
              <a:effectLst/>
              <a:latin typeface="+mn-lt"/>
              <a:ea typeface="+mn-ea"/>
              <a:cs typeface="+mn-cs"/>
            </a:rPr>
            <a:t>. </a:t>
          </a:r>
        </a:p>
        <a:p>
          <a:endParaRPr lang="en-AU"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mn-cs"/>
            </a:rPr>
            <a:t>Data is submitted monthly (before March 2022) and quarterly (from April 2022). The reporting identifies the number of hours worked</a:t>
          </a:r>
          <a:r>
            <a:rPr lang="en-AU" sz="1100" baseline="0">
              <a:solidFill>
                <a:schemeClr val="dk1"/>
              </a:solidFill>
              <a:effectLst/>
              <a:latin typeface="+mn-lt"/>
              <a:ea typeface="+mn-ea"/>
              <a:cs typeface="+mn-cs"/>
            </a:rPr>
            <a:t> </a:t>
          </a:r>
          <a:r>
            <a:rPr lang="en-AU" sz="1100">
              <a:solidFill>
                <a:schemeClr val="dk1"/>
              </a:solidFill>
              <a:effectLst/>
              <a:latin typeface="+mn-lt"/>
              <a:ea typeface="+mn-ea"/>
              <a:cs typeface="+mn-cs"/>
            </a:rPr>
            <a:t>on operating sites, and, from March 2008, exploration personnel working on greenfield sites. It includes sites under State Agreement Acts.</a:t>
          </a:r>
          <a:r>
            <a:rPr lang="en-AU" sz="1100" baseline="0">
              <a:solidFill>
                <a:schemeClr val="dk1"/>
              </a:solidFill>
              <a:effectLst/>
              <a:latin typeface="+mn-lt"/>
              <a:ea typeface="+mn-ea"/>
              <a:cs typeface="+mn-cs"/>
            </a:rPr>
            <a:t> </a:t>
          </a:r>
          <a:r>
            <a:rPr lang="en-AU" sz="1100">
              <a:solidFill>
                <a:schemeClr val="dk1"/>
              </a:solidFill>
              <a:effectLst/>
              <a:latin typeface="+mn-lt"/>
              <a:ea typeface="+mn-ea"/>
              <a:cs typeface="+mn-cs"/>
            </a:rPr>
            <a:t>It does not include personnel in administrative locations located outside operating sites.</a:t>
          </a:r>
        </a:p>
        <a:p>
          <a:pPr marL="0" marR="0" lvl="0" indent="0" defTabSz="914400" eaLnBrk="1" fontAlgn="auto" latinLnBrk="0" hangingPunct="1">
            <a:lnSpc>
              <a:spcPct val="100000"/>
            </a:lnSpc>
            <a:spcBef>
              <a:spcPts val="0"/>
            </a:spcBef>
            <a:spcAft>
              <a:spcPts val="0"/>
            </a:spcAft>
            <a:buClrTx/>
            <a:buSzTx/>
            <a:buFontTx/>
            <a:buNone/>
            <a:tabLst/>
            <a:defRPr/>
          </a:pPr>
          <a:endParaRPr lang="en-AU"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mn-cs"/>
            </a:rPr>
            <a:t>Port Authorities,</a:t>
          </a:r>
          <a:r>
            <a:rPr lang="en-AU" sz="1100" baseline="0">
              <a:solidFill>
                <a:schemeClr val="dk1"/>
              </a:solidFill>
              <a:effectLst/>
              <a:latin typeface="+mn-lt"/>
              <a:ea typeface="+mn-ea"/>
              <a:cs typeface="+mn-cs"/>
            </a:rPr>
            <a:t> which were previously included under the </a:t>
          </a:r>
          <a:r>
            <a:rPr lang="en-AU" sz="1100" i="1">
              <a:solidFill>
                <a:schemeClr val="dk1"/>
              </a:solidFill>
              <a:effectLst/>
              <a:latin typeface="+mn-lt"/>
              <a:ea typeface="+mn-ea"/>
              <a:cs typeface="+mn-cs"/>
            </a:rPr>
            <a:t>Mines Safety and Inspection Act 1994</a:t>
          </a:r>
          <a:r>
            <a:rPr lang="en-AU" sz="1100" i="0">
              <a:solidFill>
                <a:schemeClr val="dk1"/>
              </a:solidFill>
              <a:effectLst/>
              <a:latin typeface="+mn-lt"/>
              <a:ea typeface="+mn-ea"/>
              <a:cs typeface="+mn-cs"/>
            </a:rPr>
            <a:t> are now excluded under the </a:t>
          </a:r>
          <a:r>
            <a:rPr lang="en-AU" sz="1100" i="1">
              <a:solidFill>
                <a:schemeClr val="dk1"/>
              </a:solidFill>
              <a:effectLst/>
              <a:latin typeface="+mn-lt"/>
              <a:ea typeface="+mn-ea"/>
              <a:cs typeface="+mn-cs"/>
            </a:rPr>
            <a:t>Work Health and Safety Act 2020</a:t>
          </a:r>
          <a:r>
            <a:rPr lang="en-AU" sz="1100" i="0">
              <a:solidFill>
                <a:schemeClr val="dk1"/>
              </a:solidFill>
              <a:effectLst/>
              <a:latin typeface="+mn-lt"/>
              <a:ea typeface="+mn-ea"/>
              <a:cs typeface="+mn-cs"/>
            </a:rPr>
            <a:t>.</a:t>
          </a:r>
          <a:r>
            <a:rPr lang="en-AU" sz="1100" i="0" baseline="0">
              <a:solidFill>
                <a:schemeClr val="dk1"/>
              </a:solidFill>
              <a:effectLst/>
              <a:latin typeface="+mn-lt"/>
              <a:ea typeface="+mn-ea"/>
              <a:cs typeface="+mn-cs"/>
            </a:rPr>
            <a:t> No attempt has been made to adjust for this change.</a:t>
          </a:r>
          <a:endParaRPr lang="en-AU"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Note that slight discrepancies are expected between annual mining employment figures on overall commodity and a site by site basis. This is due to variations associated with rounding when averaging employee numbers throughout the year, and data collection methodology generally. Discrepancies are anticipated to be very small, &lt;0.1%.</a:t>
          </a:r>
          <a:r>
            <a:rPr lang="en-AU" sz="1100" baseline="0">
              <a:solidFill>
                <a:schemeClr val="dk1"/>
              </a:solidFill>
              <a:effectLst/>
              <a:latin typeface="+mn-lt"/>
              <a:ea typeface="+mn-ea"/>
              <a:cs typeface="+mn-cs"/>
            </a:rPr>
            <a:t> F</a:t>
          </a:r>
          <a:r>
            <a:rPr lang="en-AU" sz="1100">
              <a:solidFill>
                <a:schemeClr val="dk1"/>
              </a:solidFill>
              <a:effectLst/>
              <a:latin typeface="+mn-lt"/>
              <a:ea typeface="+mn-ea"/>
              <a:cs typeface="+mn-cs"/>
            </a:rPr>
            <a:t>or the purposes of determining overall statewide employment, it is recommended that data in the </a:t>
          </a:r>
          <a:r>
            <a:rPr lang="en-AU" sz="1100" b="1">
              <a:solidFill>
                <a:schemeClr val="dk1"/>
              </a:solidFill>
              <a:effectLst/>
              <a:latin typeface="+mn-lt"/>
              <a:ea typeface="+mn-ea"/>
              <a:cs typeface="+mn-cs"/>
            </a:rPr>
            <a:t>Mining Employment</a:t>
          </a:r>
          <a:r>
            <a:rPr lang="en-AU" sz="1100" b="1" baseline="0">
              <a:solidFill>
                <a:schemeClr val="dk1"/>
              </a:solidFill>
              <a:effectLst/>
              <a:latin typeface="+mn-lt"/>
              <a:ea typeface="+mn-ea"/>
              <a:cs typeface="+mn-cs"/>
            </a:rPr>
            <a:t> </a:t>
          </a:r>
          <a:r>
            <a:rPr lang="en-AU" sz="1100" b="1">
              <a:solidFill>
                <a:schemeClr val="dk1"/>
              </a:solidFill>
              <a:effectLst/>
              <a:latin typeface="+mn-lt"/>
              <a:ea typeface="+mn-ea"/>
              <a:cs typeface="+mn-cs"/>
            </a:rPr>
            <a:t>Calendar Year  </a:t>
          </a:r>
          <a:r>
            <a:rPr lang="en-AU" sz="1100">
              <a:solidFill>
                <a:schemeClr val="dk1"/>
              </a:solidFill>
              <a:effectLst/>
              <a:latin typeface="+mn-lt"/>
              <a:ea typeface="+mn-ea"/>
              <a:cs typeface="+mn-cs"/>
            </a:rPr>
            <a:t>or </a:t>
          </a:r>
          <a:r>
            <a:rPr lang="en-AU" sz="1100" b="1">
              <a:solidFill>
                <a:schemeClr val="dk1"/>
              </a:solidFill>
              <a:effectLst/>
              <a:latin typeface="+mn-lt"/>
              <a:ea typeface="+mn-ea"/>
              <a:cs typeface="+mn-cs"/>
            </a:rPr>
            <a:t>Mining Employment Financial Year </a:t>
          </a:r>
          <a:r>
            <a:rPr lang="en-AU" sz="1100">
              <a:solidFill>
                <a:schemeClr val="dk1"/>
              </a:solidFill>
              <a:effectLst/>
              <a:latin typeface="+mn-lt"/>
              <a:ea typeface="+mn-ea"/>
              <a:cs typeface="+mn-cs"/>
            </a:rPr>
            <a:t>sheets be utilised to minimise the impact of rounding.</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It is important to</a:t>
          </a:r>
          <a:r>
            <a:rPr lang="en-AU" sz="1100" baseline="0">
              <a:solidFill>
                <a:schemeClr val="dk1"/>
              </a:solidFill>
              <a:effectLst/>
              <a:latin typeface="+mn-lt"/>
              <a:ea typeface="+mn-ea"/>
              <a:cs typeface="+mn-cs"/>
            </a:rPr>
            <a:t> note that this mining employment data is </a:t>
          </a:r>
          <a:r>
            <a:rPr lang="en-AU" sz="1100">
              <a:solidFill>
                <a:schemeClr val="dk1"/>
              </a:solidFill>
              <a:effectLst/>
              <a:latin typeface="+mn-lt"/>
              <a:ea typeface="+mn-ea"/>
              <a:cs typeface="+mn-cs"/>
            </a:rPr>
            <a:t>not directly comparable with that collected by the Australian Bureau of Statistics.</a:t>
          </a:r>
          <a:r>
            <a:rPr lang="en-AU" sz="1100" baseline="0">
              <a:solidFill>
                <a:schemeClr val="dk1"/>
              </a:solidFill>
              <a:effectLst/>
              <a:latin typeface="+mn-lt"/>
              <a:ea typeface="+mn-ea"/>
              <a:cs typeface="+mn-cs"/>
            </a:rPr>
            <a:t> The ABS data </a:t>
          </a:r>
          <a:r>
            <a:rPr lang="en-AU" sz="1100">
              <a:solidFill>
                <a:schemeClr val="dk1"/>
              </a:solidFill>
              <a:effectLst/>
              <a:latin typeface="+mn-lt"/>
              <a:ea typeface="+mn-ea"/>
              <a:cs typeface="+mn-cs"/>
            </a:rPr>
            <a:t>is classified using reference to the Australian and New Zealand Standard Industrial Classification (ANZSIC). Not all on-site</a:t>
          </a:r>
          <a:r>
            <a:rPr lang="en-AU" sz="1100" baseline="0">
              <a:solidFill>
                <a:schemeClr val="dk1"/>
              </a:solidFill>
              <a:effectLst/>
              <a:latin typeface="+mn-lt"/>
              <a:ea typeface="+mn-ea"/>
              <a:cs typeface="+mn-cs"/>
            </a:rPr>
            <a:t> </a:t>
          </a:r>
          <a:r>
            <a:rPr lang="en-AU" sz="1100">
              <a:solidFill>
                <a:schemeClr val="dk1"/>
              </a:solidFill>
              <a:effectLst/>
              <a:latin typeface="+mn-lt"/>
              <a:ea typeface="+mn-ea"/>
              <a:cs typeface="+mn-cs"/>
            </a:rPr>
            <a:t>mining and mineral exploration employment is reflected in the ABS’s Mining Division under ANZSIC. For example:</a:t>
          </a:r>
          <a:r>
            <a:rPr lang="en-AU" sz="1100" baseline="0">
              <a:solidFill>
                <a:schemeClr val="dk1"/>
              </a:solidFill>
              <a:effectLst/>
              <a:latin typeface="+mn-lt"/>
              <a:ea typeface="+mn-ea"/>
              <a:cs typeface="+mn-cs"/>
            </a:rPr>
            <a:t> </a:t>
          </a:r>
          <a:r>
            <a:rPr lang="en-AU" sz="1100">
              <a:solidFill>
                <a:schemeClr val="dk1"/>
              </a:solidFill>
              <a:effectLst/>
              <a:latin typeface="+mn-lt"/>
              <a:ea typeface="+mn-ea"/>
              <a:cs typeface="+mn-cs"/>
            </a:rPr>
            <a:t>catering personnel working are reflected in the Accommodation and Food Services classification; transport personnel (truck and train drivers) are reflected in the Transport, Postal and Warehousing; contractors employed in site preparation and removing overburden at a mine site on a contract or fee basis are listed under Site Preparation Services;</a:t>
          </a:r>
          <a:r>
            <a:rPr lang="en-AU" sz="1100" baseline="0">
              <a:solidFill>
                <a:schemeClr val="dk1"/>
              </a:solidFill>
              <a:effectLst/>
              <a:latin typeface="+mn-lt"/>
              <a:ea typeface="+mn-ea"/>
              <a:cs typeface="+mn-cs"/>
            </a:rPr>
            <a:t> those e</a:t>
          </a:r>
          <a:r>
            <a:rPr lang="en-AU" sz="1100">
              <a:solidFill>
                <a:schemeClr val="dk1"/>
              </a:solidFill>
              <a:effectLst/>
              <a:latin typeface="+mn-lt"/>
              <a:ea typeface="+mn-ea"/>
              <a:cs typeface="+mn-cs"/>
            </a:rPr>
            <a:t>mployees engaged in the</a:t>
          </a:r>
          <a:r>
            <a:rPr lang="en-AU" sz="1100" baseline="0">
              <a:solidFill>
                <a:schemeClr val="dk1"/>
              </a:solidFill>
              <a:effectLst/>
              <a:latin typeface="+mn-lt"/>
              <a:ea typeface="+mn-ea"/>
              <a:cs typeface="+mn-cs"/>
            </a:rPr>
            <a:t> </a:t>
          </a:r>
          <a:r>
            <a:rPr lang="en-AU" sz="1100">
              <a:solidFill>
                <a:schemeClr val="dk1"/>
              </a:solidFill>
              <a:effectLst/>
              <a:latin typeface="+mn-lt"/>
              <a:ea typeface="+mn-ea"/>
              <a:cs typeface="+mn-cs"/>
            </a:rPr>
            <a:t>production of pig iron, hot briquetted iron, alumina, the smelting and refining of metals and petroleum refining or blending are included in Manufacturing; employees providing geophysical surveying services on a contract or fee basis are included in Surveying and Mapping Services. The Mining Division also includes persons involved in Oil and Gas Extraction.</a:t>
          </a:r>
        </a:p>
        <a:p>
          <a:endParaRPr lang="en-AU" sz="1100">
            <a:solidFill>
              <a:schemeClr val="dk1"/>
            </a:solidFill>
            <a:effectLst/>
            <a:latin typeface="+mn-lt"/>
            <a:ea typeface="+mn-ea"/>
            <a:cs typeface="+mn-cs"/>
          </a:endParaRPr>
        </a:p>
        <a:p>
          <a:pPr eaLnBrk="1" fontAlgn="auto" latinLnBrk="0" hangingPunct="1"/>
          <a:r>
            <a:rPr lang="en-AU" sz="1100" baseline="0">
              <a:solidFill>
                <a:schemeClr val="dk1"/>
              </a:solidFill>
              <a:effectLst/>
              <a:latin typeface="+mn-lt"/>
              <a:ea typeface="+mn-ea"/>
              <a:cs typeface="+mn-cs"/>
            </a:rPr>
            <a:t>Due to differences in methodology and classifications, the mining employment data should also not be combined with the data provided on the </a:t>
          </a:r>
          <a:r>
            <a:rPr lang="en-AU" sz="1100" b="1" baseline="0">
              <a:solidFill>
                <a:schemeClr val="dk1"/>
              </a:solidFill>
              <a:effectLst/>
              <a:latin typeface="+mn-lt"/>
              <a:ea typeface="+mn-ea"/>
              <a:cs typeface="+mn-cs"/>
            </a:rPr>
            <a:t>Petroleum Employment </a:t>
          </a:r>
          <a:r>
            <a:rPr lang="en-AU" sz="1100" baseline="0">
              <a:solidFill>
                <a:schemeClr val="dk1"/>
              </a:solidFill>
              <a:effectLst/>
              <a:latin typeface="+mn-lt"/>
              <a:ea typeface="+mn-ea"/>
              <a:cs typeface="+mn-cs"/>
            </a:rPr>
            <a:t>sheet of this publication.</a:t>
          </a:r>
          <a:endParaRPr lang="en-AU">
            <a:effectLst/>
          </a:endParaRPr>
        </a:p>
        <a:p>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a:effectLst/>
          </a:endParaRP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 </a:t>
          </a:r>
        </a:p>
        <a:p>
          <a:r>
            <a:rPr lang="en-AU" sz="1100">
              <a:solidFill>
                <a:schemeClr val="dk1"/>
              </a:solidFill>
              <a:effectLst/>
              <a:latin typeface="+mn-lt"/>
              <a:ea typeface="+mn-ea"/>
              <a:cs typeface="+mn-cs"/>
            </a:rPr>
            <a:t> </a:t>
          </a:r>
        </a:p>
        <a:p>
          <a:endParaRPr lang="en-AU" sz="1100">
            <a:solidFill>
              <a:schemeClr val="dk1"/>
            </a:solidFill>
            <a:effectLst/>
            <a:latin typeface="+mn-lt"/>
            <a:ea typeface="+mn-ea"/>
            <a:cs typeface="+mn-cs"/>
          </a:endParaRPr>
        </a:p>
      </xdr:txBody>
    </xdr:sp>
    <xdr:clientData/>
  </xdr:twoCellAnchor>
  <xdr:twoCellAnchor editAs="oneCell">
    <xdr:from>
      <xdr:col>2</xdr:col>
      <xdr:colOff>0</xdr:colOff>
      <xdr:row>23</xdr:row>
      <xdr:rowOff>0</xdr:rowOff>
    </xdr:from>
    <xdr:to>
      <xdr:col>12</xdr:col>
      <xdr:colOff>342000</xdr:colOff>
      <xdr:row>46</xdr:row>
      <xdr:rowOff>118500</xdr:rowOff>
    </xdr:to>
    <xdr:graphicFrame macro="">
      <xdr:nvGraphicFramePr>
        <xdr:cNvPr id="4" name="Chart 3">
          <a:extLst>
            <a:ext uri="{FF2B5EF4-FFF2-40B4-BE49-F238E27FC236}">
              <a16:creationId xmlns:a16="http://schemas.microsoft.com/office/drawing/2014/main" id="{7EA859AB-A724-4244-945E-A61C56009F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13</xdr:col>
      <xdr:colOff>0</xdr:colOff>
      <xdr:row>22</xdr:row>
      <xdr:rowOff>190499</xdr:rowOff>
    </xdr:from>
    <xdr:to>
      <xdr:col>23</xdr:col>
      <xdr:colOff>570600</xdr:colOff>
      <xdr:row>46</xdr:row>
      <xdr:rowOff>118499</xdr:rowOff>
    </xdr:to>
    <xdr:graphicFrame macro="">
      <xdr:nvGraphicFramePr>
        <xdr:cNvPr id="5" name="Chart 4">
          <a:extLst>
            <a:ext uri="{FF2B5EF4-FFF2-40B4-BE49-F238E27FC236}">
              <a16:creationId xmlns:a16="http://schemas.microsoft.com/office/drawing/2014/main" id="{54C154C0-B699-4F04-87B3-8F713DD55A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cdr:x>
      <cdr:y>0.94648</cdr:y>
    </cdr:from>
    <cdr:to>
      <cdr:x>0.22125</cdr:x>
      <cdr:y>1</cdr:y>
    </cdr:to>
    <cdr:sp macro="" textlink="">
      <cdr:nvSpPr>
        <cdr:cNvPr id="3073" name="Text Box 1"/>
        <cdr:cNvSpPr txBox="1">
          <a:spLocks xmlns:a="http://schemas.openxmlformats.org/drawingml/2006/main" noChangeArrowheads="1"/>
        </cdr:cNvSpPr>
      </cdr:nvSpPr>
      <cdr:spPr bwMode="auto">
        <a:xfrm xmlns:a="http://schemas.openxmlformats.org/drawingml/2006/main">
          <a:off x="0" y="3200400"/>
          <a:ext cx="1298162" cy="18097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l" rtl="0">
            <a:defRPr sz="1000"/>
          </a:pPr>
          <a:r>
            <a:rPr lang="en-AU" sz="800" b="1" i="0" u="none" strike="noStrike" baseline="0">
              <a:solidFill>
                <a:srgbClr val="000000"/>
              </a:solidFill>
              <a:latin typeface="Arial"/>
              <a:cs typeface="Arial"/>
            </a:rPr>
            <a:t>Source:  DEMIRS</a:t>
          </a:r>
          <a:r>
            <a:rPr lang="en-AU" sz="800" b="0" i="0" u="none" strike="noStrike" baseline="0">
              <a:solidFill>
                <a:srgbClr val="000000"/>
              </a:solidFill>
              <a:latin typeface="Arial"/>
              <a:cs typeface="Arial"/>
            </a:rPr>
            <a:t> </a:t>
          </a:r>
        </a:p>
      </cdr:txBody>
    </cdr:sp>
  </cdr:relSizeAnchor>
</c:userShapes>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2622122</xdr:colOff>
      <xdr:row>3</xdr:row>
      <xdr:rowOff>169176</xdr:rowOff>
    </xdr:to>
    <xdr:pic>
      <xdr:nvPicPr>
        <xdr:cNvPr id="2" name="Picture 1">
          <a:hlinkClick xmlns:r="http://schemas.openxmlformats.org/officeDocument/2006/relationships" r:id="rId1"/>
          <a:extLst>
            <a:ext uri="{FF2B5EF4-FFF2-40B4-BE49-F238E27FC236}">
              <a16:creationId xmlns:a16="http://schemas.microsoft.com/office/drawing/2014/main" id="{0B4753C5-4F71-44AF-929E-3F38219A6FC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twoCellAnchor editAs="oneCell">
    <xdr:from>
      <xdr:col>0</xdr:col>
      <xdr:colOff>0</xdr:colOff>
      <xdr:row>23</xdr:row>
      <xdr:rowOff>0</xdr:rowOff>
    </xdr:from>
    <xdr:to>
      <xdr:col>0</xdr:col>
      <xdr:colOff>4860000</xdr:colOff>
      <xdr:row>65</xdr:row>
      <xdr:rowOff>80925</xdr:rowOff>
    </xdr:to>
    <xdr:sp macro="" textlink="">
      <xdr:nvSpPr>
        <xdr:cNvPr id="3" name="TextBox 2">
          <a:extLst>
            <a:ext uri="{FF2B5EF4-FFF2-40B4-BE49-F238E27FC236}">
              <a16:creationId xmlns:a16="http://schemas.microsoft.com/office/drawing/2014/main" id="{424B4A7B-B065-40C4-AA28-383AF31AD2D7}"/>
            </a:ext>
          </a:extLst>
        </xdr:cNvPr>
        <xdr:cNvSpPr txBox="1"/>
      </xdr:nvSpPr>
      <xdr:spPr>
        <a:xfrm>
          <a:off x="0" y="4448175"/>
          <a:ext cx="4860000" cy="792000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solidFill>
                <a:schemeClr val="dk1"/>
              </a:solidFill>
              <a:effectLst/>
              <a:latin typeface="+mn-lt"/>
              <a:ea typeface="+mn-ea"/>
              <a:cs typeface="+mn-cs"/>
            </a:rPr>
            <a:t>FTE is the number of full-time equivalents. It is based on the numbers of hours worked with an FTE considered to be 2,000</a:t>
          </a:r>
          <a:r>
            <a:rPr lang="en-AU" sz="1100" baseline="0">
              <a:solidFill>
                <a:schemeClr val="dk1"/>
              </a:solidFill>
              <a:effectLst/>
              <a:latin typeface="+mn-lt"/>
              <a:ea typeface="+mn-ea"/>
              <a:cs typeface="+mn-cs"/>
            </a:rPr>
            <a:t> hours worked in a year, 500 hours worked in a quarter, and 166.7 hours worked in a month.</a:t>
          </a:r>
          <a:endParaRPr lang="en-AU" sz="1100">
            <a:solidFill>
              <a:schemeClr val="dk1"/>
            </a:solidFill>
            <a:effectLst/>
            <a:latin typeface="+mn-lt"/>
            <a:ea typeface="+mn-ea"/>
            <a:cs typeface="+mn-cs"/>
          </a:endParaRPr>
        </a:p>
        <a:p>
          <a:endParaRPr lang="en-AU"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mn-cs"/>
            </a:rPr>
            <a:t>Data includes those mining and mineral exploration operations regulated under the </a:t>
          </a:r>
          <a:r>
            <a:rPr lang="en-AU" sz="1100" i="1">
              <a:solidFill>
                <a:schemeClr val="dk1"/>
              </a:solidFill>
              <a:effectLst/>
              <a:latin typeface="+mn-lt"/>
              <a:ea typeface="+mn-ea"/>
              <a:cs typeface="+mn-cs"/>
            </a:rPr>
            <a:t>Work Health and Safety Act 2020 </a:t>
          </a:r>
          <a:r>
            <a:rPr lang="en-AU" sz="1100">
              <a:solidFill>
                <a:schemeClr val="dk1"/>
              </a:solidFill>
              <a:effectLst/>
              <a:latin typeface="+mn-lt"/>
              <a:ea typeface="+mn-ea"/>
              <a:cs typeface="+mn-cs"/>
            </a:rPr>
            <a:t>and, prior to April 2022, the </a:t>
          </a:r>
          <a:r>
            <a:rPr lang="en-AU" sz="1100" i="1">
              <a:solidFill>
                <a:schemeClr val="dk1"/>
              </a:solidFill>
              <a:effectLst/>
              <a:latin typeface="+mn-lt"/>
              <a:ea typeface="+mn-ea"/>
              <a:cs typeface="+mn-cs"/>
            </a:rPr>
            <a:t>Mines Safety and Inspection Act 1994</a:t>
          </a:r>
          <a:r>
            <a:rPr lang="en-AU" sz="1100">
              <a:solidFill>
                <a:schemeClr val="dk1"/>
              </a:solidFill>
              <a:effectLst/>
              <a:latin typeface="+mn-lt"/>
              <a:ea typeface="+mn-ea"/>
              <a:cs typeface="+mn-cs"/>
            </a:rPr>
            <a:t>. </a:t>
          </a:r>
        </a:p>
        <a:p>
          <a:endParaRPr lang="en-AU"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mn-cs"/>
            </a:rPr>
            <a:t>Data is submitted monthly (before March 2022) and quarterly (from April 2022). The reporting identifies the number of hours worked</a:t>
          </a:r>
          <a:r>
            <a:rPr lang="en-AU" sz="1100" baseline="0">
              <a:solidFill>
                <a:schemeClr val="dk1"/>
              </a:solidFill>
              <a:effectLst/>
              <a:latin typeface="+mn-lt"/>
              <a:ea typeface="+mn-ea"/>
              <a:cs typeface="+mn-cs"/>
            </a:rPr>
            <a:t> </a:t>
          </a:r>
          <a:r>
            <a:rPr lang="en-AU" sz="1100">
              <a:solidFill>
                <a:schemeClr val="dk1"/>
              </a:solidFill>
              <a:effectLst/>
              <a:latin typeface="+mn-lt"/>
              <a:ea typeface="+mn-ea"/>
              <a:cs typeface="+mn-cs"/>
            </a:rPr>
            <a:t>on operating sites, and, from March 2008, exploration personnel working on greenfield sites. It includes sites under State Agreement Acts.</a:t>
          </a:r>
          <a:r>
            <a:rPr lang="en-AU" sz="1100" baseline="0">
              <a:solidFill>
                <a:schemeClr val="dk1"/>
              </a:solidFill>
              <a:effectLst/>
              <a:latin typeface="+mn-lt"/>
              <a:ea typeface="+mn-ea"/>
              <a:cs typeface="+mn-cs"/>
            </a:rPr>
            <a:t> </a:t>
          </a:r>
          <a:r>
            <a:rPr lang="en-AU" sz="1100">
              <a:solidFill>
                <a:schemeClr val="dk1"/>
              </a:solidFill>
              <a:effectLst/>
              <a:latin typeface="+mn-lt"/>
              <a:ea typeface="+mn-ea"/>
              <a:cs typeface="+mn-cs"/>
            </a:rPr>
            <a:t>It does not include personnel in administrative locations located outside operating sites.</a:t>
          </a:r>
        </a:p>
        <a:p>
          <a:pPr marL="0" marR="0" lvl="0" indent="0" defTabSz="914400" eaLnBrk="1" fontAlgn="auto" latinLnBrk="0" hangingPunct="1">
            <a:lnSpc>
              <a:spcPct val="100000"/>
            </a:lnSpc>
            <a:spcBef>
              <a:spcPts val="0"/>
            </a:spcBef>
            <a:spcAft>
              <a:spcPts val="0"/>
            </a:spcAft>
            <a:buClrTx/>
            <a:buSzTx/>
            <a:buFontTx/>
            <a:buNone/>
            <a:tabLst/>
            <a:defRPr/>
          </a:pPr>
          <a:endParaRPr lang="en-AU"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mn-cs"/>
            </a:rPr>
            <a:t>Port Authorities,</a:t>
          </a:r>
          <a:r>
            <a:rPr lang="en-AU" sz="1100" baseline="0">
              <a:solidFill>
                <a:schemeClr val="dk1"/>
              </a:solidFill>
              <a:effectLst/>
              <a:latin typeface="+mn-lt"/>
              <a:ea typeface="+mn-ea"/>
              <a:cs typeface="+mn-cs"/>
            </a:rPr>
            <a:t> which were previously included under the </a:t>
          </a:r>
          <a:r>
            <a:rPr lang="en-AU" sz="1100" i="1">
              <a:solidFill>
                <a:schemeClr val="dk1"/>
              </a:solidFill>
              <a:effectLst/>
              <a:latin typeface="+mn-lt"/>
              <a:ea typeface="+mn-ea"/>
              <a:cs typeface="+mn-cs"/>
            </a:rPr>
            <a:t>Mines Safety and Inspection Act 1994</a:t>
          </a:r>
          <a:r>
            <a:rPr lang="en-AU" sz="1100" i="0">
              <a:solidFill>
                <a:schemeClr val="dk1"/>
              </a:solidFill>
              <a:effectLst/>
              <a:latin typeface="+mn-lt"/>
              <a:ea typeface="+mn-ea"/>
              <a:cs typeface="+mn-cs"/>
            </a:rPr>
            <a:t> are now excluded under the </a:t>
          </a:r>
          <a:r>
            <a:rPr lang="en-AU" sz="1100" i="1">
              <a:solidFill>
                <a:schemeClr val="dk1"/>
              </a:solidFill>
              <a:effectLst/>
              <a:latin typeface="+mn-lt"/>
              <a:ea typeface="+mn-ea"/>
              <a:cs typeface="+mn-cs"/>
            </a:rPr>
            <a:t>Work Health and Safety Act 2020</a:t>
          </a:r>
          <a:r>
            <a:rPr lang="en-AU" sz="1100" i="0">
              <a:solidFill>
                <a:schemeClr val="dk1"/>
              </a:solidFill>
              <a:effectLst/>
              <a:latin typeface="+mn-lt"/>
              <a:ea typeface="+mn-ea"/>
              <a:cs typeface="+mn-cs"/>
            </a:rPr>
            <a:t>.</a:t>
          </a:r>
          <a:r>
            <a:rPr lang="en-AU" sz="1100" i="0" baseline="0">
              <a:solidFill>
                <a:schemeClr val="dk1"/>
              </a:solidFill>
              <a:effectLst/>
              <a:latin typeface="+mn-lt"/>
              <a:ea typeface="+mn-ea"/>
              <a:cs typeface="+mn-cs"/>
            </a:rPr>
            <a:t> No attempt has been made to adjust for this change.</a:t>
          </a:r>
          <a:endParaRPr lang="en-AU"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Note that slight discrepancies are expected between annual mining employment figures on overall commodity and a site by site basis. This is due to variations associated with rounding when averaging employee numbers throughout the year, and data collection methodology generally. Discrepancies are anticipated to be very small, &lt;0.1%.</a:t>
          </a:r>
          <a:r>
            <a:rPr lang="en-AU" sz="1100" baseline="0">
              <a:solidFill>
                <a:schemeClr val="dk1"/>
              </a:solidFill>
              <a:effectLst/>
              <a:latin typeface="+mn-lt"/>
              <a:ea typeface="+mn-ea"/>
              <a:cs typeface="+mn-cs"/>
            </a:rPr>
            <a:t> F</a:t>
          </a:r>
          <a:r>
            <a:rPr lang="en-AU" sz="1100">
              <a:solidFill>
                <a:schemeClr val="dk1"/>
              </a:solidFill>
              <a:effectLst/>
              <a:latin typeface="+mn-lt"/>
              <a:ea typeface="+mn-ea"/>
              <a:cs typeface="+mn-cs"/>
            </a:rPr>
            <a:t>or the purposes of determining overall statewide employment, it is recommended that data in the </a:t>
          </a:r>
          <a:r>
            <a:rPr lang="en-AU" sz="1100" b="1">
              <a:solidFill>
                <a:schemeClr val="dk1"/>
              </a:solidFill>
              <a:effectLst/>
              <a:latin typeface="+mn-lt"/>
              <a:ea typeface="+mn-ea"/>
              <a:cs typeface="+mn-cs"/>
            </a:rPr>
            <a:t>Mining Employment</a:t>
          </a:r>
          <a:r>
            <a:rPr lang="en-AU" sz="1100" b="1" baseline="0">
              <a:solidFill>
                <a:schemeClr val="dk1"/>
              </a:solidFill>
              <a:effectLst/>
              <a:latin typeface="+mn-lt"/>
              <a:ea typeface="+mn-ea"/>
              <a:cs typeface="+mn-cs"/>
            </a:rPr>
            <a:t> </a:t>
          </a:r>
          <a:r>
            <a:rPr lang="en-AU" sz="1100" b="1">
              <a:solidFill>
                <a:schemeClr val="dk1"/>
              </a:solidFill>
              <a:effectLst/>
              <a:latin typeface="+mn-lt"/>
              <a:ea typeface="+mn-ea"/>
              <a:cs typeface="+mn-cs"/>
            </a:rPr>
            <a:t>Calendar Year  </a:t>
          </a:r>
          <a:r>
            <a:rPr lang="en-AU" sz="1100">
              <a:solidFill>
                <a:schemeClr val="dk1"/>
              </a:solidFill>
              <a:effectLst/>
              <a:latin typeface="+mn-lt"/>
              <a:ea typeface="+mn-ea"/>
              <a:cs typeface="+mn-cs"/>
            </a:rPr>
            <a:t>or </a:t>
          </a:r>
          <a:r>
            <a:rPr lang="en-AU" sz="1100" b="1">
              <a:solidFill>
                <a:schemeClr val="dk1"/>
              </a:solidFill>
              <a:effectLst/>
              <a:latin typeface="+mn-lt"/>
              <a:ea typeface="+mn-ea"/>
              <a:cs typeface="+mn-cs"/>
            </a:rPr>
            <a:t>Mining Employment Financial Year </a:t>
          </a:r>
          <a:r>
            <a:rPr lang="en-AU" sz="1100">
              <a:solidFill>
                <a:schemeClr val="dk1"/>
              </a:solidFill>
              <a:effectLst/>
              <a:latin typeface="+mn-lt"/>
              <a:ea typeface="+mn-ea"/>
              <a:cs typeface="+mn-cs"/>
            </a:rPr>
            <a:t>sheets be utilised to minimise the impact of rounding.</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It is important to</a:t>
          </a:r>
          <a:r>
            <a:rPr lang="en-AU" sz="1100" baseline="0">
              <a:solidFill>
                <a:schemeClr val="dk1"/>
              </a:solidFill>
              <a:effectLst/>
              <a:latin typeface="+mn-lt"/>
              <a:ea typeface="+mn-ea"/>
              <a:cs typeface="+mn-cs"/>
            </a:rPr>
            <a:t> note that this mining employment data is </a:t>
          </a:r>
          <a:r>
            <a:rPr lang="en-AU" sz="1100">
              <a:solidFill>
                <a:schemeClr val="dk1"/>
              </a:solidFill>
              <a:effectLst/>
              <a:latin typeface="+mn-lt"/>
              <a:ea typeface="+mn-ea"/>
              <a:cs typeface="+mn-cs"/>
            </a:rPr>
            <a:t>not directly comparable with that collected by the Australian Bureau of Statistics.</a:t>
          </a:r>
          <a:r>
            <a:rPr lang="en-AU" sz="1100" baseline="0">
              <a:solidFill>
                <a:schemeClr val="dk1"/>
              </a:solidFill>
              <a:effectLst/>
              <a:latin typeface="+mn-lt"/>
              <a:ea typeface="+mn-ea"/>
              <a:cs typeface="+mn-cs"/>
            </a:rPr>
            <a:t> The ABS data </a:t>
          </a:r>
          <a:r>
            <a:rPr lang="en-AU" sz="1100">
              <a:solidFill>
                <a:schemeClr val="dk1"/>
              </a:solidFill>
              <a:effectLst/>
              <a:latin typeface="+mn-lt"/>
              <a:ea typeface="+mn-ea"/>
              <a:cs typeface="+mn-cs"/>
            </a:rPr>
            <a:t>is classified using reference to the Australian and New Zealand Standard Industrial Classification (ANZSIC). Not all on-site</a:t>
          </a:r>
          <a:r>
            <a:rPr lang="en-AU" sz="1100" baseline="0">
              <a:solidFill>
                <a:schemeClr val="dk1"/>
              </a:solidFill>
              <a:effectLst/>
              <a:latin typeface="+mn-lt"/>
              <a:ea typeface="+mn-ea"/>
              <a:cs typeface="+mn-cs"/>
            </a:rPr>
            <a:t> </a:t>
          </a:r>
          <a:r>
            <a:rPr lang="en-AU" sz="1100">
              <a:solidFill>
                <a:schemeClr val="dk1"/>
              </a:solidFill>
              <a:effectLst/>
              <a:latin typeface="+mn-lt"/>
              <a:ea typeface="+mn-ea"/>
              <a:cs typeface="+mn-cs"/>
            </a:rPr>
            <a:t>mining and mineral exploration employment is reflected in the ABS’s Mining Division under ANZSIC. For example:</a:t>
          </a:r>
          <a:r>
            <a:rPr lang="en-AU" sz="1100" baseline="0">
              <a:solidFill>
                <a:schemeClr val="dk1"/>
              </a:solidFill>
              <a:effectLst/>
              <a:latin typeface="+mn-lt"/>
              <a:ea typeface="+mn-ea"/>
              <a:cs typeface="+mn-cs"/>
            </a:rPr>
            <a:t> </a:t>
          </a:r>
          <a:r>
            <a:rPr lang="en-AU" sz="1100">
              <a:solidFill>
                <a:schemeClr val="dk1"/>
              </a:solidFill>
              <a:effectLst/>
              <a:latin typeface="+mn-lt"/>
              <a:ea typeface="+mn-ea"/>
              <a:cs typeface="+mn-cs"/>
            </a:rPr>
            <a:t>catering personnel working are reflected in the Accommodation and Food Services classification; transport personnel (truck and train drivers) are reflected in the Transport, Postal and Warehousing; contractors employed in site preparation and removing overburden at a mine site on a contract or fee basis are listed under Site Preparation Services;</a:t>
          </a:r>
          <a:r>
            <a:rPr lang="en-AU" sz="1100" baseline="0">
              <a:solidFill>
                <a:schemeClr val="dk1"/>
              </a:solidFill>
              <a:effectLst/>
              <a:latin typeface="+mn-lt"/>
              <a:ea typeface="+mn-ea"/>
              <a:cs typeface="+mn-cs"/>
            </a:rPr>
            <a:t> those e</a:t>
          </a:r>
          <a:r>
            <a:rPr lang="en-AU" sz="1100">
              <a:solidFill>
                <a:schemeClr val="dk1"/>
              </a:solidFill>
              <a:effectLst/>
              <a:latin typeface="+mn-lt"/>
              <a:ea typeface="+mn-ea"/>
              <a:cs typeface="+mn-cs"/>
            </a:rPr>
            <a:t>mployees engaged in the</a:t>
          </a:r>
          <a:r>
            <a:rPr lang="en-AU" sz="1100" baseline="0">
              <a:solidFill>
                <a:schemeClr val="dk1"/>
              </a:solidFill>
              <a:effectLst/>
              <a:latin typeface="+mn-lt"/>
              <a:ea typeface="+mn-ea"/>
              <a:cs typeface="+mn-cs"/>
            </a:rPr>
            <a:t> </a:t>
          </a:r>
          <a:r>
            <a:rPr lang="en-AU" sz="1100">
              <a:solidFill>
                <a:schemeClr val="dk1"/>
              </a:solidFill>
              <a:effectLst/>
              <a:latin typeface="+mn-lt"/>
              <a:ea typeface="+mn-ea"/>
              <a:cs typeface="+mn-cs"/>
            </a:rPr>
            <a:t>production of pig iron, hot briquetted iron, alumina, the smelting and refining of metals and petroleum refining or blending are included in Manufacturing; employees providing geophysical surveying services on a contract or fee basis are included in Surveying and Mapping Services. The Mining Division also includes persons involved in Oil and Gas Extraction.</a:t>
          </a:r>
        </a:p>
        <a:p>
          <a:endParaRPr lang="en-AU" sz="1100">
            <a:solidFill>
              <a:schemeClr val="dk1"/>
            </a:solidFill>
            <a:effectLst/>
            <a:latin typeface="+mn-lt"/>
            <a:ea typeface="+mn-ea"/>
            <a:cs typeface="+mn-cs"/>
          </a:endParaRPr>
        </a:p>
        <a:p>
          <a:pPr eaLnBrk="1" fontAlgn="auto" latinLnBrk="0" hangingPunct="1"/>
          <a:r>
            <a:rPr lang="en-AU" sz="1100" baseline="0">
              <a:solidFill>
                <a:schemeClr val="dk1"/>
              </a:solidFill>
              <a:effectLst/>
              <a:latin typeface="+mn-lt"/>
              <a:ea typeface="+mn-ea"/>
              <a:cs typeface="+mn-cs"/>
            </a:rPr>
            <a:t>Due to differences in methodology and classifications, the mining employment data should also not be combined with the data provided on the </a:t>
          </a:r>
          <a:r>
            <a:rPr lang="en-AU" sz="1100" b="1" baseline="0">
              <a:solidFill>
                <a:schemeClr val="dk1"/>
              </a:solidFill>
              <a:effectLst/>
              <a:latin typeface="+mn-lt"/>
              <a:ea typeface="+mn-ea"/>
              <a:cs typeface="+mn-cs"/>
            </a:rPr>
            <a:t>Petroleum Employment </a:t>
          </a:r>
          <a:r>
            <a:rPr lang="en-AU" sz="1100" baseline="0">
              <a:solidFill>
                <a:schemeClr val="dk1"/>
              </a:solidFill>
              <a:effectLst/>
              <a:latin typeface="+mn-lt"/>
              <a:ea typeface="+mn-ea"/>
              <a:cs typeface="+mn-cs"/>
            </a:rPr>
            <a:t>sheet of this publication.</a:t>
          </a:r>
          <a:endParaRPr lang="en-AU">
            <a:effectLst/>
          </a:endParaRPr>
        </a:p>
        <a:p>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a:effectLst/>
          </a:endParaRP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 </a:t>
          </a:r>
        </a:p>
        <a:p>
          <a:r>
            <a:rPr lang="en-AU" sz="1100">
              <a:solidFill>
                <a:schemeClr val="dk1"/>
              </a:solidFill>
              <a:effectLst/>
              <a:latin typeface="+mn-lt"/>
              <a:ea typeface="+mn-ea"/>
              <a:cs typeface="+mn-cs"/>
            </a:rPr>
            <a:t> </a:t>
          </a:r>
        </a:p>
        <a:p>
          <a:endParaRPr lang="en-AU" sz="1100">
            <a:solidFill>
              <a:schemeClr val="dk1"/>
            </a:solidFill>
            <a:effectLst/>
            <a:latin typeface="+mn-lt"/>
            <a:ea typeface="+mn-ea"/>
            <a:cs typeface="+mn-cs"/>
          </a:endParaRPr>
        </a:p>
      </xdr:txBody>
    </xdr:sp>
    <xdr:clientData/>
  </xdr:twoCellAnchor>
  <xdr:twoCellAnchor editAs="oneCell">
    <xdr:from>
      <xdr:col>1</xdr:col>
      <xdr:colOff>685799</xdr:colOff>
      <xdr:row>23</xdr:row>
      <xdr:rowOff>0</xdr:rowOff>
    </xdr:from>
    <xdr:to>
      <xdr:col>12</xdr:col>
      <xdr:colOff>275324</xdr:colOff>
      <xdr:row>46</xdr:row>
      <xdr:rowOff>118500</xdr:rowOff>
    </xdr:to>
    <xdr:graphicFrame macro="">
      <xdr:nvGraphicFramePr>
        <xdr:cNvPr id="4" name="Chart 3">
          <a:extLst>
            <a:ext uri="{FF2B5EF4-FFF2-40B4-BE49-F238E27FC236}">
              <a16:creationId xmlns:a16="http://schemas.microsoft.com/office/drawing/2014/main" id="{4C1F3C72-7C09-4FD5-A303-B60929B816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13</xdr:col>
      <xdr:colOff>0</xdr:colOff>
      <xdr:row>23</xdr:row>
      <xdr:rowOff>0</xdr:rowOff>
    </xdr:from>
    <xdr:to>
      <xdr:col>23</xdr:col>
      <xdr:colOff>94350</xdr:colOff>
      <xdr:row>46</xdr:row>
      <xdr:rowOff>118500</xdr:rowOff>
    </xdr:to>
    <xdr:graphicFrame macro="">
      <xdr:nvGraphicFramePr>
        <xdr:cNvPr id="5" name="Chart 4">
          <a:extLst>
            <a:ext uri="{FF2B5EF4-FFF2-40B4-BE49-F238E27FC236}">
              <a16:creationId xmlns:a16="http://schemas.microsoft.com/office/drawing/2014/main" id="{2E6757AA-555D-4AB8-8931-58167C667C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cdr:x>
      <cdr:y>0.94648</cdr:y>
    </cdr:from>
    <cdr:to>
      <cdr:x>0.22125</cdr:x>
      <cdr:y>1</cdr:y>
    </cdr:to>
    <cdr:sp macro="" textlink="">
      <cdr:nvSpPr>
        <cdr:cNvPr id="3073" name="Text Box 1"/>
        <cdr:cNvSpPr txBox="1">
          <a:spLocks xmlns:a="http://schemas.openxmlformats.org/drawingml/2006/main" noChangeArrowheads="1"/>
        </cdr:cNvSpPr>
      </cdr:nvSpPr>
      <cdr:spPr bwMode="auto">
        <a:xfrm xmlns:a="http://schemas.openxmlformats.org/drawingml/2006/main">
          <a:off x="0" y="3200400"/>
          <a:ext cx="1298162" cy="18097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l" rtl="0">
            <a:defRPr sz="1000"/>
          </a:pPr>
          <a:r>
            <a:rPr lang="en-AU" sz="800" b="1" i="0" u="none" strike="noStrike" baseline="0">
              <a:solidFill>
                <a:srgbClr val="000000"/>
              </a:solidFill>
              <a:latin typeface="Arial"/>
              <a:cs typeface="Arial"/>
            </a:rPr>
            <a:t>Source:  DEMIRS</a:t>
          </a:r>
          <a:r>
            <a:rPr lang="en-AU" sz="800" b="0" i="0" u="none" strike="noStrike" baseline="0">
              <a:solidFill>
                <a:srgbClr val="000000"/>
              </a:solidFill>
              <a:latin typeface="Arial"/>
              <a:cs typeface="Arial"/>
            </a:rPr>
            <a:t> </a:t>
          </a:r>
        </a:p>
      </cdr:txBody>
    </cdr:sp>
  </cdr:relSizeAnchor>
</c:userShapes>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2622122</xdr:colOff>
      <xdr:row>3</xdr:row>
      <xdr:rowOff>169176</xdr:rowOff>
    </xdr:to>
    <xdr:pic>
      <xdr:nvPicPr>
        <xdr:cNvPr id="2" name="Picture 1">
          <a:hlinkClick xmlns:r="http://schemas.openxmlformats.org/officeDocument/2006/relationships" r:id="rId1"/>
          <a:extLst>
            <a:ext uri="{FF2B5EF4-FFF2-40B4-BE49-F238E27FC236}">
              <a16:creationId xmlns:a16="http://schemas.microsoft.com/office/drawing/2014/main" id="{B2B2DC2F-8738-443B-8A41-CB66CFB017A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twoCellAnchor editAs="oneCell">
    <xdr:from>
      <xdr:col>0</xdr:col>
      <xdr:colOff>0</xdr:colOff>
      <xdr:row>85</xdr:row>
      <xdr:rowOff>0</xdr:rowOff>
    </xdr:from>
    <xdr:to>
      <xdr:col>4</xdr:col>
      <xdr:colOff>536647</xdr:colOff>
      <xdr:row>124</xdr:row>
      <xdr:rowOff>130500</xdr:rowOff>
    </xdr:to>
    <xdr:sp macro="" textlink="">
      <xdr:nvSpPr>
        <xdr:cNvPr id="3" name="TextBox 2">
          <a:extLst>
            <a:ext uri="{FF2B5EF4-FFF2-40B4-BE49-F238E27FC236}">
              <a16:creationId xmlns:a16="http://schemas.microsoft.com/office/drawing/2014/main" id="{D10C4AC8-D240-431A-91A3-EF263ECFE9AB}"/>
            </a:ext>
          </a:extLst>
        </xdr:cNvPr>
        <xdr:cNvSpPr txBox="1"/>
      </xdr:nvSpPr>
      <xdr:spPr>
        <a:xfrm>
          <a:off x="0" y="12326471"/>
          <a:ext cx="5400000" cy="756000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solidFill>
                <a:schemeClr val="dk1"/>
              </a:solidFill>
              <a:effectLst/>
              <a:latin typeface="+mn-lt"/>
              <a:ea typeface="+mn-ea"/>
              <a:cs typeface="+mn-cs"/>
            </a:rPr>
            <a:t>FTE is the number of full-time equivalents. It is based on the numbers of hours worked with an FTE considered to be 2,000</a:t>
          </a:r>
          <a:r>
            <a:rPr lang="en-AU" sz="1100" baseline="0">
              <a:solidFill>
                <a:schemeClr val="dk1"/>
              </a:solidFill>
              <a:effectLst/>
              <a:latin typeface="+mn-lt"/>
              <a:ea typeface="+mn-ea"/>
              <a:cs typeface="+mn-cs"/>
            </a:rPr>
            <a:t> hours worked in a year, 500 hours worked in a quarter, and 166.7 hours worked in a month.</a:t>
          </a:r>
          <a:endParaRPr lang="en-AU" sz="1100">
            <a:solidFill>
              <a:schemeClr val="dk1"/>
            </a:solidFill>
            <a:effectLst/>
            <a:latin typeface="+mn-lt"/>
            <a:ea typeface="+mn-ea"/>
            <a:cs typeface="+mn-cs"/>
          </a:endParaRPr>
        </a:p>
        <a:p>
          <a:endParaRPr lang="en-AU"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mn-cs"/>
            </a:rPr>
            <a:t>Data includes those mining and mineral exploration operations regulated under the </a:t>
          </a:r>
          <a:r>
            <a:rPr lang="en-AU" sz="1100" i="1">
              <a:solidFill>
                <a:schemeClr val="dk1"/>
              </a:solidFill>
              <a:effectLst/>
              <a:latin typeface="+mn-lt"/>
              <a:ea typeface="+mn-ea"/>
              <a:cs typeface="+mn-cs"/>
            </a:rPr>
            <a:t>Work Health and Safety Act 2020 </a:t>
          </a:r>
          <a:r>
            <a:rPr lang="en-AU" sz="1100">
              <a:solidFill>
                <a:schemeClr val="dk1"/>
              </a:solidFill>
              <a:effectLst/>
              <a:latin typeface="+mn-lt"/>
              <a:ea typeface="+mn-ea"/>
              <a:cs typeface="+mn-cs"/>
            </a:rPr>
            <a:t>and, prior to April 2022, the </a:t>
          </a:r>
          <a:r>
            <a:rPr lang="en-AU" sz="1100" i="1">
              <a:solidFill>
                <a:schemeClr val="dk1"/>
              </a:solidFill>
              <a:effectLst/>
              <a:latin typeface="+mn-lt"/>
              <a:ea typeface="+mn-ea"/>
              <a:cs typeface="+mn-cs"/>
            </a:rPr>
            <a:t>Mines Safety and Inspection Act 1994</a:t>
          </a:r>
          <a:r>
            <a:rPr lang="en-AU" sz="1100">
              <a:solidFill>
                <a:schemeClr val="dk1"/>
              </a:solidFill>
              <a:effectLst/>
              <a:latin typeface="+mn-lt"/>
              <a:ea typeface="+mn-ea"/>
              <a:cs typeface="+mn-cs"/>
            </a:rPr>
            <a:t>. </a:t>
          </a:r>
        </a:p>
        <a:p>
          <a:endParaRPr lang="en-AU"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mn-cs"/>
            </a:rPr>
            <a:t>Data is submitted monthly (before March 2022) and quarterly (from April 2022). The reporting identifies the number of hours worked</a:t>
          </a:r>
          <a:r>
            <a:rPr lang="en-AU" sz="1100" baseline="0">
              <a:solidFill>
                <a:schemeClr val="dk1"/>
              </a:solidFill>
              <a:effectLst/>
              <a:latin typeface="+mn-lt"/>
              <a:ea typeface="+mn-ea"/>
              <a:cs typeface="+mn-cs"/>
            </a:rPr>
            <a:t> </a:t>
          </a:r>
          <a:r>
            <a:rPr lang="en-AU" sz="1100">
              <a:solidFill>
                <a:schemeClr val="dk1"/>
              </a:solidFill>
              <a:effectLst/>
              <a:latin typeface="+mn-lt"/>
              <a:ea typeface="+mn-ea"/>
              <a:cs typeface="+mn-cs"/>
            </a:rPr>
            <a:t>on operating sites, and, from March 2008, exploration personnel working on greenfield sites. It includes sites under State Agreement Acts.</a:t>
          </a:r>
          <a:r>
            <a:rPr lang="en-AU" sz="1100" baseline="0">
              <a:solidFill>
                <a:schemeClr val="dk1"/>
              </a:solidFill>
              <a:effectLst/>
              <a:latin typeface="+mn-lt"/>
              <a:ea typeface="+mn-ea"/>
              <a:cs typeface="+mn-cs"/>
            </a:rPr>
            <a:t> </a:t>
          </a:r>
          <a:r>
            <a:rPr lang="en-AU" sz="1100">
              <a:solidFill>
                <a:schemeClr val="dk1"/>
              </a:solidFill>
              <a:effectLst/>
              <a:latin typeface="+mn-lt"/>
              <a:ea typeface="+mn-ea"/>
              <a:cs typeface="+mn-cs"/>
            </a:rPr>
            <a:t>It does not include personnel in administrative locations located outside operating sites.</a:t>
          </a:r>
        </a:p>
        <a:p>
          <a:pPr marL="0" marR="0" lvl="0" indent="0" defTabSz="914400" eaLnBrk="1" fontAlgn="auto" latinLnBrk="0" hangingPunct="1">
            <a:lnSpc>
              <a:spcPct val="100000"/>
            </a:lnSpc>
            <a:spcBef>
              <a:spcPts val="0"/>
            </a:spcBef>
            <a:spcAft>
              <a:spcPts val="0"/>
            </a:spcAft>
            <a:buClrTx/>
            <a:buSzTx/>
            <a:buFontTx/>
            <a:buNone/>
            <a:tabLst/>
            <a:defRPr/>
          </a:pPr>
          <a:endParaRPr lang="en-AU"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mn-cs"/>
            </a:rPr>
            <a:t>Port Authorities,</a:t>
          </a:r>
          <a:r>
            <a:rPr lang="en-AU" sz="1100" baseline="0">
              <a:solidFill>
                <a:schemeClr val="dk1"/>
              </a:solidFill>
              <a:effectLst/>
              <a:latin typeface="+mn-lt"/>
              <a:ea typeface="+mn-ea"/>
              <a:cs typeface="+mn-cs"/>
            </a:rPr>
            <a:t> which were previously included under the </a:t>
          </a:r>
          <a:r>
            <a:rPr lang="en-AU" sz="1100" i="1">
              <a:solidFill>
                <a:schemeClr val="dk1"/>
              </a:solidFill>
              <a:effectLst/>
              <a:latin typeface="+mn-lt"/>
              <a:ea typeface="+mn-ea"/>
              <a:cs typeface="+mn-cs"/>
            </a:rPr>
            <a:t>Mines Safety and Inspection Act 1994</a:t>
          </a:r>
          <a:r>
            <a:rPr lang="en-AU" sz="1100" i="0">
              <a:solidFill>
                <a:schemeClr val="dk1"/>
              </a:solidFill>
              <a:effectLst/>
              <a:latin typeface="+mn-lt"/>
              <a:ea typeface="+mn-ea"/>
              <a:cs typeface="+mn-cs"/>
            </a:rPr>
            <a:t> are now excluded under the </a:t>
          </a:r>
          <a:r>
            <a:rPr lang="en-AU" sz="1100" i="1">
              <a:solidFill>
                <a:schemeClr val="dk1"/>
              </a:solidFill>
              <a:effectLst/>
              <a:latin typeface="+mn-lt"/>
              <a:ea typeface="+mn-ea"/>
              <a:cs typeface="+mn-cs"/>
            </a:rPr>
            <a:t>Work Health and Safety Act 2020</a:t>
          </a:r>
          <a:r>
            <a:rPr lang="en-AU" sz="1100" i="0">
              <a:solidFill>
                <a:schemeClr val="dk1"/>
              </a:solidFill>
              <a:effectLst/>
              <a:latin typeface="+mn-lt"/>
              <a:ea typeface="+mn-ea"/>
              <a:cs typeface="+mn-cs"/>
            </a:rPr>
            <a:t>.</a:t>
          </a:r>
          <a:r>
            <a:rPr lang="en-AU" sz="1100" i="0" baseline="0">
              <a:solidFill>
                <a:schemeClr val="dk1"/>
              </a:solidFill>
              <a:effectLst/>
              <a:latin typeface="+mn-lt"/>
              <a:ea typeface="+mn-ea"/>
              <a:cs typeface="+mn-cs"/>
            </a:rPr>
            <a:t> No attempt has been made to adjust for this change.</a:t>
          </a:r>
          <a:endParaRPr lang="en-AU"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Note that slight discrepancies are expected between annual mining employment figures on overall commodity and a site by site basis. This is due to variations associated with rounding when averaging employee numbers throughout the year, and data collection methodology generally. Discrepancies are anticipated to be very small, &lt;0.1%.</a:t>
          </a:r>
          <a:r>
            <a:rPr lang="en-AU" sz="1100" baseline="0">
              <a:solidFill>
                <a:schemeClr val="dk1"/>
              </a:solidFill>
              <a:effectLst/>
              <a:latin typeface="+mn-lt"/>
              <a:ea typeface="+mn-ea"/>
              <a:cs typeface="+mn-cs"/>
            </a:rPr>
            <a:t> F</a:t>
          </a:r>
          <a:r>
            <a:rPr lang="en-AU" sz="1100">
              <a:solidFill>
                <a:schemeClr val="dk1"/>
              </a:solidFill>
              <a:effectLst/>
              <a:latin typeface="+mn-lt"/>
              <a:ea typeface="+mn-ea"/>
              <a:cs typeface="+mn-cs"/>
            </a:rPr>
            <a:t>or the purposes of determining overall statewide employment, it is recommended that data in the </a:t>
          </a:r>
          <a:r>
            <a:rPr lang="en-AU" sz="1100" b="1">
              <a:solidFill>
                <a:schemeClr val="dk1"/>
              </a:solidFill>
              <a:effectLst/>
              <a:latin typeface="+mn-lt"/>
              <a:ea typeface="+mn-ea"/>
              <a:cs typeface="+mn-cs"/>
            </a:rPr>
            <a:t>Mining Employment</a:t>
          </a:r>
          <a:r>
            <a:rPr lang="en-AU" sz="1100" b="1" baseline="0">
              <a:solidFill>
                <a:schemeClr val="dk1"/>
              </a:solidFill>
              <a:effectLst/>
              <a:latin typeface="+mn-lt"/>
              <a:ea typeface="+mn-ea"/>
              <a:cs typeface="+mn-cs"/>
            </a:rPr>
            <a:t> </a:t>
          </a:r>
          <a:r>
            <a:rPr lang="en-AU" sz="1100" b="1">
              <a:solidFill>
                <a:schemeClr val="dk1"/>
              </a:solidFill>
              <a:effectLst/>
              <a:latin typeface="+mn-lt"/>
              <a:ea typeface="+mn-ea"/>
              <a:cs typeface="+mn-cs"/>
            </a:rPr>
            <a:t>Calendar Year  </a:t>
          </a:r>
          <a:r>
            <a:rPr lang="en-AU" sz="1100">
              <a:solidFill>
                <a:schemeClr val="dk1"/>
              </a:solidFill>
              <a:effectLst/>
              <a:latin typeface="+mn-lt"/>
              <a:ea typeface="+mn-ea"/>
              <a:cs typeface="+mn-cs"/>
            </a:rPr>
            <a:t>or </a:t>
          </a:r>
          <a:r>
            <a:rPr lang="en-AU" sz="1100" b="1">
              <a:solidFill>
                <a:schemeClr val="dk1"/>
              </a:solidFill>
              <a:effectLst/>
              <a:latin typeface="+mn-lt"/>
              <a:ea typeface="+mn-ea"/>
              <a:cs typeface="+mn-cs"/>
            </a:rPr>
            <a:t>Mining Employment Financial Year </a:t>
          </a:r>
          <a:r>
            <a:rPr lang="en-AU" sz="1100">
              <a:solidFill>
                <a:schemeClr val="dk1"/>
              </a:solidFill>
              <a:effectLst/>
              <a:latin typeface="+mn-lt"/>
              <a:ea typeface="+mn-ea"/>
              <a:cs typeface="+mn-cs"/>
            </a:rPr>
            <a:t>sheets be utilised to minimise the impact of rounding.</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It is important to</a:t>
          </a:r>
          <a:r>
            <a:rPr lang="en-AU" sz="1100" baseline="0">
              <a:solidFill>
                <a:schemeClr val="dk1"/>
              </a:solidFill>
              <a:effectLst/>
              <a:latin typeface="+mn-lt"/>
              <a:ea typeface="+mn-ea"/>
              <a:cs typeface="+mn-cs"/>
            </a:rPr>
            <a:t> note that this mining employment data is </a:t>
          </a:r>
          <a:r>
            <a:rPr lang="en-AU" sz="1100">
              <a:solidFill>
                <a:schemeClr val="dk1"/>
              </a:solidFill>
              <a:effectLst/>
              <a:latin typeface="+mn-lt"/>
              <a:ea typeface="+mn-ea"/>
              <a:cs typeface="+mn-cs"/>
            </a:rPr>
            <a:t>not directly comparable with that collected by the Australian Bureau of Statistics.</a:t>
          </a:r>
          <a:r>
            <a:rPr lang="en-AU" sz="1100" baseline="0">
              <a:solidFill>
                <a:schemeClr val="dk1"/>
              </a:solidFill>
              <a:effectLst/>
              <a:latin typeface="+mn-lt"/>
              <a:ea typeface="+mn-ea"/>
              <a:cs typeface="+mn-cs"/>
            </a:rPr>
            <a:t> The ABS data </a:t>
          </a:r>
          <a:r>
            <a:rPr lang="en-AU" sz="1100">
              <a:solidFill>
                <a:schemeClr val="dk1"/>
              </a:solidFill>
              <a:effectLst/>
              <a:latin typeface="+mn-lt"/>
              <a:ea typeface="+mn-ea"/>
              <a:cs typeface="+mn-cs"/>
            </a:rPr>
            <a:t>is classified using reference to the Australian and New Zealand Standard Industrial Classification (ANZSIC). Not all on-site</a:t>
          </a:r>
          <a:r>
            <a:rPr lang="en-AU" sz="1100" baseline="0">
              <a:solidFill>
                <a:schemeClr val="dk1"/>
              </a:solidFill>
              <a:effectLst/>
              <a:latin typeface="+mn-lt"/>
              <a:ea typeface="+mn-ea"/>
              <a:cs typeface="+mn-cs"/>
            </a:rPr>
            <a:t> </a:t>
          </a:r>
          <a:r>
            <a:rPr lang="en-AU" sz="1100">
              <a:solidFill>
                <a:schemeClr val="dk1"/>
              </a:solidFill>
              <a:effectLst/>
              <a:latin typeface="+mn-lt"/>
              <a:ea typeface="+mn-ea"/>
              <a:cs typeface="+mn-cs"/>
            </a:rPr>
            <a:t>mining and mineral exploration employment is reflected in the ABS’s Mining Division under ANZSIC. For example:</a:t>
          </a:r>
          <a:r>
            <a:rPr lang="en-AU" sz="1100" baseline="0">
              <a:solidFill>
                <a:schemeClr val="dk1"/>
              </a:solidFill>
              <a:effectLst/>
              <a:latin typeface="+mn-lt"/>
              <a:ea typeface="+mn-ea"/>
              <a:cs typeface="+mn-cs"/>
            </a:rPr>
            <a:t> </a:t>
          </a:r>
          <a:r>
            <a:rPr lang="en-AU" sz="1100">
              <a:solidFill>
                <a:schemeClr val="dk1"/>
              </a:solidFill>
              <a:effectLst/>
              <a:latin typeface="+mn-lt"/>
              <a:ea typeface="+mn-ea"/>
              <a:cs typeface="+mn-cs"/>
            </a:rPr>
            <a:t>catering personnel working are reflected in the Accommodation and Food Services classification; transport personnel (truck and train drivers) are reflected in the Transport, Postal and Warehousing; contractors employed in site preparation and removing overburden at a mine site on a contract or fee basis are listed under Site Preparation Services;</a:t>
          </a:r>
          <a:r>
            <a:rPr lang="en-AU" sz="1100" baseline="0">
              <a:solidFill>
                <a:schemeClr val="dk1"/>
              </a:solidFill>
              <a:effectLst/>
              <a:latin typeface="+mn-lt"/>
              <a:ea typeface="+mn-ea"/>
              <a:cs typeface="+mn-cs"/>
            </a:rPr>
            <a:t> those e</a:t>
          </a:r>
          <a:r>
            <a:rPr lang="en-AU" sz="1100">
              <a:solidFill>
                <a:schemeClr val="dk1"/>
              </a:solidFill>
              <a:effectLst/>
              <a:latin typeface="+mn-lt"/>
              <a:ea typeface="+mn-ea"/>
              <a:cs typeface="+mn-cs"/>
            </a:rPr>
            <a:t>mployees engaged in the</a:t>
          </a:r>
          <a:r>
            <a:rPr lang="en-AU" sz="1100" baseline="0">
              <a:solidFill>
                <a:schemeClr val="dk1"/>
              </a:solidFill>
              <a:effectLst/>
              <a:latin typeface="+mn-lt"/>
              <a:ea typeface="+mn-ea"/>
              <a:cs typeface="+mn-cs"/>
            </a:rPr>
            <a:t> </a:t>
          </a:r>
          <a:r>
            <a:rPr lang="en-AU" sz="1100">
              <a:solidFill>
                <a:schemeClr val="dk1"/>
              </a:solidFill>
              <a:effectLst/>
              <a:latin typeface="+mn-lt"/>
              <a:ea typeface="+mn-ea"/>
              <a:cs typeface="+mn-cs"/>
            </a:rPr>
            <a:t>production of pig iron, hot briquetted iron, alumina, the smelting and refining of metals and petroleum refining or blending are included in Manufacturing; employees providing geophysical surveying services on a contract or fee basis are included in Surveying and Mapping Services. The Mining Division also includes persons involved in Oil and Gas Extraction.</a:t>
          </a:r>
        </a:p>
        <a:p>
          <a:endParaRPr lang="en-AU" sz="1100">
            <a:solidFill>
              <a:schemeClr val="dk1"/>
            </a:solidFill>
            <a:effectLst/>
            <a:latin typeface="+mn-lt"/>
            <a:ea typeface="+mn-ea"/>
            <a:cs typeface="+mn-cs"/>
          </a:endParaRPr>
        </a:p>
        <a:p>
          <a:pPr eaLnBrk="1" fontAlgn="auto" latinLnBrk="0" hangingPunct="1"/>
          <a:r>
            <a:rPr lang="en-AU" sz="1100" baseline="0">
              <a:solidFill>
                <a:schemeClr val="dk1"/>
              </a:solidFill>
              <a:effectLst/>
              <a:latin typeface="+mn-lt"/>
              <a:ea typeface="+mn-ea"/>
              <a:cs typeface="+mn-cs"/>
            </a:rPr>
            <a:t>Due to differences in methodology and classifications, the mining employment data should also not be combined with the data provided on the </a:t>
          </a:r>
          <a:r>
            <a:rPr lang="en-AU" sz="1100" b="1" baseline="0">
              <a:solidFill>
                <a:schemeClr val="dk1"/>
              </a:solidFill>
              <a:effectLst/>
              <a:latin typeface="+mn-lt"/>
              <a:ea typeface="+mn-ea"/>
              <a:cs typeface="+mn-cs"/>
            </a:rPr>
            <a:t>Petroleum Employment </a:t>
          </a:r>
          <a:r>
            <a:rPr lang="en-AU" sz="1100" baseline="0">
              <a:solidFill>
                <a:schemeClr val="dk1"/>
              </a:solidFill>
              <a:effectLst/>
              <a:latin typeface="+mn-lt"/>
              <a:ea typeface="+mn-ea"/>
              <a:cs typeface="+mn-cs"/>
            </a:rPr>
            <a:t>sheet of this publication.</a:t>
          </a:r>
          <a:endParaRPr lang="en-AU">
            <a:effectLst/>
          </a:endParaRPr>
        </a:p>
        <a:p>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a:effectLst/>
          </a:endParaRP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 </a:t>
          </a:r>
        </a:p>
        <a:p>
          <a:r>
            <a:rPr lang="en-AU" sz="1100">
              <a:solidFill>
                <a:schemeClr val="dk1"/>
              </a:solidFill>
              <a:effectLst/>
              <a:latin typeface="+mn-lt"/>
              <a:ea typeface="+mn-ea"/>
              <a:cs typeface="+mn-cs"/>
            </a:rPr>
            <a:t> </a:t>
          </a:r>
        </a:p>
        <a:p>
          <a:endParaRPr lang="en-AU" sz="1100">
            <a:solidFill>
              <a:schemeClr val="dk1"/>
            </a:solidFill>
            <a:effectLst/>
            <a:latin typeface="+mn-lt"/>
            <a:ea typeface="+mn-ea"/>
            <a:cs typeface="+mn-cs"/>
          </a:endParaRPr>
        </a:p>
        <a:p>
          <a:endParaRPr lang="en-AU" sz="1100"/>
        </a:p>
      </xdr:txBody>
    </xdr:sp>
    <xdr:clientData/>
  </xdr:twoCellAnchor>
  <xdr:twoCellAnchor editAs="oneCell">
    <xdr:from>
      <xdr:col>266</xdr:col>
      <xdr:colOff>0</xdr:colOff>
      <xdr:row>8</xdr:row>
      <xdr:rowOff>0</xdr:rowOff>
    </xdr:from>
    <xdr:to>
      <xdr:col>280</xdr:col>
      <xdr:colOff>105600</xdr:colOff>
      <xdr:row>32</xdr:row>
      <xdr:rowOff>88950</xdr:rowOff>
    </xdr:to>
    <xdr:graphicFrame macro="">
      <xdr:nvGraphicFramePr>
        <xdr:cNvPr id="4" name="Chart 3">
          <a:extLst>
            <a:ext uri="{FF2B5EF4-FFF2-40B4-BE49-F238E27FC236}">
              <a16:creationId xmlns:a16="http://schemas.microsoft.com/office/drawing/2014/main" id="{332BB8AF-4B25-42DC-86AF-8AABB825AE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265</xdr:col>
      <xdr:colOff>609599</xdr:colOff>
      <xdr:row>34</xdr:row>
      <xdr:rowOff>0</xdr:rowOff>
    </xdr:from>
    <xdr:to>
      <xdr:col>280</xdr:col>
      <xdr:colOff>105599</xdr:colOff>
      <xdr:row>79</xdr:row>
      <xdr:rowOff>88950</xdr:rowOff>
    </xdr:to>
    <xdr:graphicFrame macro="">
      <xdr:nvGraphicFramePr>
        <xdr:cNvPr id="5" name="Chart 4">
          <a:extLst>
            <a:ext uri="{FF2B5EF4-FFF2-40B4-BE49-F238E27FC236}">
              <a16:creationId xmlns:a16="http://schemas.microsoft.com/office/drawing/2014/main" id="{D840675A-D1F9-4D22-AA07-48DAF87A48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cdr:x>
      <cdr:y>0.95887</cdr:y>
    </cdr:from>
    <cdr:to>
      <cdr:x>0.28935</cdr:x>
      <cdr:y>0.99593</cdr:y>
    </cdr:to>
    <cdr:sp macro="" textlink="">
      <cdr:nvSpPr>
        <cdr:cNvPr id="2" name="TextBox 1"/>
        <cdr:cNvSpPr txBox="1"/>
      </cdr:nvSpPr>
      <cdr:spPr>
        <a:xfrm xmlns:a="http://schemas.openxmlformats.org/drawingml/2006/main">
          <a:off x="0" y="4487509"/>
          <a:ext cx="2499984" cy="17344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900" b="1">
              <a:latin typeface="+mn-lt"/>
            </a:rPr>
            <a:t>Source:  DEMIRS</a:t>
          </a:r>
        </a:p>
      </cdr:txBody>
    </cdr:sp>
  </cdr:relSizeAnchor>
</c:userShapes>
</file>

<file path=xl/drawings/drawing26.xml><?xml version="1.0" encoding="utf-8"?>
<c:userShapes xmlns:c="http://schemas.openxmlformats.org/drawingml/2006/chart">
  <cdr:relSizeAnchor xmlns:cdr="http://schemas.openxmlformats.org/drawingml/2006/chartDrawing">
    <cdr:from>
      <cdr:x>0.00037</cdr:x>
      <cdr:y>0.9536</cdr:y>
    </cdr:from>
    <cdr:to>
      <cdr:x>0.28282</cdr:x>
      <cdr:y>0.98978</cdr:y>
    </cdr:to>
    <cdr:sp macro="" textlink="">
      <cdr:nvSpPr>
        <cdr:cNvPr id="2" name="TextBox 1"/>
        <cdr:cNvSpPr txBox="1"/>
      </cdr:nvSpPr>
      <cdr:spPr>
        <a:xfrm xmlns:a="http://schemas.openxmlformats.org/drawingml/2006/main">
          <a:off x="3182" y="4444338"/>
          <a:ext cx="2429374" cy="1686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900" b="1">
              <a:latin typeface="+mn-lt"/>
            </a:rPr>
            <a:t>Source:  DEMIRS</a:t>
          </a:r>
        </a:p>
      </cdr:txBody>
    </cdr:sp>
  </cdr:relSizeAnchor>
</c:userShapes>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812372</xdr:colOff>
      <xdr:row>4</xdr:row>
      <xdr:rowOff>7251</xdr:rowOff>
    </xdr:to>
    <xdr:pic>
      <xdr:nvPicPr>
        <xdr:cNvPr id="2" name="Picture 1">
          <a:hlinkClick xmlns:r="http://schemas.openxmlformats.org/officeDocument/2006/relationships" r:id="rId1"/>
          <a:extLst>
            <a:ext uri="{FF2B5EF4-FFF2-40B4-BE49-F238E27FC236}">
              <a16:creationId xmlns:a16="http://schemas.microsoft.com/office/drawing/2014/main" id="{D1AEC3F8-E499-4AC4-A077-2382679353F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twoCellAnchor editAs="oneCell">
    <xdr:from>
      <xdr:col>6</xdr:col>
      <xdr:colOff>0</xdr:colOff>
      <xdr:row>5</xdr:row>
      <xdr:rowOff>0</xdr:rowOff>
    </xdr:from>
    <xdr:to>
      <xdr:col>10</xdr:col>
      <xdr:colOff>447000</xdr:colOff>
      <xdr:row>43</xdr:row>
      <xdr:rowOff>120975</xdr:rowOff>
    </xdr:to>
    <xdr:sp macro="" textlink="">
      <xdr:nvSpPr>
        <xdr:cNvPr id="3" name="TextBox 2">
          <a:extLst>
            <a:ext uri="{FF2B5EF4-FFF2-40B4-BE49-F238E27FC236}">
              <a16:creationId xmlns:a16="http://schemas.microsoft.com/office/drawing/2014/main" id="{16FFC6AE-D5F1-42D4-9A85-B5E301632E37}"/>
            </a:ext>
          </a:extLst>
        </xdr:cNvPr>
        <xdr:cNvSpPr txBox="1"/>
      </xdr:nvSpPr>
      <xdr:spPr>
        <a:xfrm>
          <a:off x="11753850" y="962025"/>
          <a:ext cx="5400000" cy="756000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solidFill>
                <a:schemeClr val="dk1"/>
              </a:solidFill>
              <a:effectLst/>
              <a:latin typeface="+mn-lt"/>
              <a:ea typeface="+mn-ea"/>
              <a:cs typeface="+mn-cs"/>
            </a:rPr>
            <a:t>FTE is the number of full-time equivalents. It is based on the numbers of hours worked with an FTE considered to be 2,000</a:t>
          </a:r>
          <a:r>
            <a:rPr lang="en-AU" sz="1100" baseline="0">
              <a:solidFill>
                <a:schemeClr val="dk1"/>
              </a:solidFill>
              <a:effectLst/>
              <a:latin typeface="+mn-lt"/>
              <a:ea typeface="+mn-ea"/>
              <a:cs typeface="+mn-cs"/>
            </a:rPr>
            <a:t> hours worked in a year, 500 hours worked in a quarter, and 166.7 hours worked in a month.</a:t>
          </a:r>
          <a:endParaRPr lang="en-AU" sz="1100">
            <a:solidFill>
              <a:schemeClr val="dk1"/>
            </a:solidFill>
            <a:effectLst/>
            <a:latin typeface="+mn-lt"/>
            <a:ea typeface="+mn-ea"/>
            <a:cs typeface="+mn-cs"/>
          </a:endParaRPr>
        </a:p>
        <a:p>
          <a:endParaRPr lang="en-AU"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mn-cs"/>
            </a:rPr>
            <a:t>Data includes those mining and mineral exploration operations regulated under the </a:t>
          </a:r>
          <a:r>
            <a:rPr lang="en-AU" sz="1100" i="1">
              <a:solidFill>
                <a:schemeClr val="dk1"/>
              </a:solidFill>
              <a:effectLst/>
              <a:latin typeface="+mn-lt"/>
              <a:ea typeface="+mn-ea"/>
              <a:cs typeface="+mn-cs"/>
            </a:rPr>
            <a:t>Work Health and Safety Act 2020 </a:t>
          </a:r>
          <a:r>
            <a:rPr lang="en-AU" sz="1100">
              <a:solidFill>
                <a:schemeClr val="dk1"/>
              </a:solidFill>
              <a:effectLst/>
              <a:latin typeface="+mn-lt"/>
              <a:ea typeface="+mn-ea"/>
              <a:cs typeface="+mn-cs"/>
            </a:rPr>
            <a:t>and, prior to April 2022, the </a:t>
          </a:r>
          <a:r>
            <a:rPr lang="en-AU" sz="1100" i="1">
              <a:solidFill>
                <a:schemeClr val="dk1"/>
              </a:solidFill>
              <a:effectLst/>
              <a:latin typeface="+mn-lt"/>
              <a:ea typeface="+mn-ea"/>
              <a:cs typeface="+mn-cs"/>
            </a:rPr>
            <a:t>Mines Safety and Inspection Act 1994</a:t>
          </a:r>
          <a:r>
            <a:rPr lang="en-AU" sz="1100">
              <a:solidFill>
                <a:schemeClr val="dk1"/>
              </a:solidFill>
              <a:effectLst/>
              <a:latin typeface="+mn-lt"/>
              <a:ea typeface="+mn-ea"/>
              <a:cs typeface="+mn-cs"/>
            </a:rPr>
            <a:t>. </a:t>
          </a:r>
        </a:p>
        <a:p>
          <a:endParaRPr lang="en-AU"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mn-cs"/>
            </a:rPr>
            <a:t>Data is subitted monthly (before March 2022) and quarterly (from April 2022). The reporting identifies the number of hours worked</a:t>
          </a:r>
          <a:r>
            <a:rPr lang="en-AU" sz="1100" baseline="0">
              <a:solidFill>
                <a:schemeClr val="dk1"/>
              </a:solidFill>
              <a:effectLst/>
              <a:latin typeface="+mn-lt"/>
              <a:ea typeface="+mn-ea"/>
              <a:cs typeface="+mn-cs"/>
            </a:rPr>
            <a:t> </a:t>
          </a:r>
          <a:r>
            <a:rPr lang="en-AU" sz="1100">
              <a:solidFill>
                <a:schemeClr val="dk1"/>
              </a:solidFill>
              <a:effectLst/>
              <a:latin typeface="+mn-lt"/>
              <a:ea typeface="+mn-ea"/>
              <a:cs typeface="+mn-cs"/>
            </a:rPr>
            <a:t>on operating sites, and, from March 2008, exploration personnel working on greenfield sites. It includes sites under State Agreement Acts.</a:t>
          </a:r>
          <a:r>
            <a:rPr lang="en-AU" sz="1100" baseline="0">
              <a:solidFill>
                <a:schemeClr val="dk1"/>
              </a:solidFill>
              <a:effectLst/>
              <a:latin typeface="+mn-lt"/>
              <a:ea typeface="+mn-ea"/>
              <a:cs typeface="+mn-cs"/>
            </a:rPr>
            <a:t> </a:t>
          </a:r>
          <a:r>
            <a:rPr lang="en-AU" sz="1100">
              <a:solidFill>
                <a:schemeClr val="dk1"/>
              </a:solidFill>
              <a:effectLst/>
              <a:latin typeface="+mn-lt"/>
              <a:ea typeface="+mn-ea"/>
              <a:cs typeface="+mn-cs"/>
            </a:rPr>
            <a:t>It does not include personnel in administrative locations located outside operating sites.</a:t>
          </a:r>
        </a:p>
        <a:p>
          <a:pPr marL="0" marR="0" lvl="0" indent="0" defTabSz="914400" eaLnBrk="1" fontAlgn="auto" latinLnBrk="0" hangingPunct="1">
            <a:lnSpc>
              <a:spcPct val="100000"/>
            </a:lnSpc>
            <a:spcBef>
              <a:spcPts val="0"/>
            </a:spcBef>
            <a:spcAft>
              <a:spcPts val="0"/>
            </a:spcAft>
            <a:buClrTx/>
            <a:buSzTx/>
            <a:buFontTx/>
            <a:buNone/>
            <a:tabLst/>
            <a:defRPr/>
          </a:pPr>
          <a:endParaRPr lang="en-AU"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mn-cs"/>
            </a:rPr>
            <a:t>Port Authorities,</a:t>
          </a:r>
          <a:r>
            <a:rPr lang="en-AU" sz="1100" baseline="0">
              <a:solidFill>
                <a:schemeClr val="dk1"/>
              </a:solidFill>
              <a:effectLst/>
              <a:latin typeface="+mn-lt"/>
              <a:ea typeface="+mn-ea"/>
              <a:cs typeface="+mn-cs"/>
            </a:rPr>
            <a:t> which were previously included under the </a:t>
          </a:r>
          <a:r>
            <a:rPr lang="en-AU" sz="1100" i="1">
              <a:solidFill>
                <a:schemeClr val="dk1"/>
              </a:solidFill>
              <a:effectLst/>
              <a:latin typeface="+mn-lt"/>
              <a:ea typeface="+mn-ea"/>
              <a:cs typeface="+mn-cs"/>
            </a:rPr>
            <a:t>Mines Safety and Inspection Act 1994</a:t>
          </a:r>
          <a:r>
            <a:rPr lang="en-AU" sz="1100" i="0">
              <a:solidFill>
                <a:schemeClr val="dk1"/>
              </a:solidFill>
              <a:effectLst/>
              <a:latin typeface="+mn-lt"/>
              <a:ea typeface="+mn-ea"/>
              <a:cs typeface="+mn-cs"/>
            </a:rPr>
            <a:t> are now excluded under the </a:t>
          </a:r>
          <a:r>
            <a:rPr lang="en-AU" sz="1100" i="1">
              <a:solidFill>
                <a:schemeClr val="dk1"/>
              </a:solidFill>
              <a:effectLst/>
              <a:latin typeface="+mn-lt"/>
              <a:ea typeface="+mn-ea"/>
              <a:cs typeface="+mn-cs"/>
            </a:rPr>
            <a:t>Work Health and Safety Act 2020</a:t>
          </a:r>
          <a:r>
            <a:rPr lang="en-AU" sz="1100" i="0">
              <a:solidFill>
                <a:schemeClr val="dk1"/>
              </a:solidFill>
              <a:effectLst/>
              <a:latin typeface="+mn-lt"/>
              <a:ea typeface="+mn-ea"/>
              <a:cs typeface="+mn-cs"/>
            </a:rPr>
            <a:t>.</a:t>
          </a:r>
          <a:r>
            <a:rPr lang="en-AU" sz="1100" i="0" baseline="0">
              <a:solidFill>
                <a:schemeClr val="dk1"/>
              </a:solidFill>
              <a:effectLst/>
              <a:latin typeface="+mn-lt"/>
              <a:ea typeface="+mn-ea"/>
              <a:cs typeface="+mn-cs"/>
            </a:rPr>
            <a:t> No attempt has been made to adjust for this change.</a:t>
          </a:r>
          <a:endParaRPr lang="en-AU"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Note that slight discrepancies are expected between annual mining employment figures on overall commodity and a site by site basis. This is due to variations associated with rounding when averaging employee numbers throughout the year, and data collection methodology generally. Discrepancies are anticipated to be very small, &lt;0.1%.</a:t>
          </a:r>
          <a:r>
            <a:rPr lang="en-AU" sz="1100" baseline="0">
              <a:solidFill>
                <a:schemeClr val="dk1"/>
              </a:solidFill>
              <a:effectLst/>
              <a:latin typeface="+mn-lt"/>
              <a:ea typeface="+mn-ea"/>
              <a:cs typeface="+mn-cs"/>
            </a:rPr>
            <a:t> F</a:t>
          </a:r>
          <a:r>
            <a:rPr lang="en-AU" sz="1100">
              <a:solidFill>
                <a:schemeClr val="dk1"/>
              </a:solidFill>
              <a:effectLst/>
              <a:latin typeface="+mn-lt"/>
              <a:ea typeface="+mn-ea"/>
              <a:cs typeface="+mn-cs"/>
            </a:rPr>
            <a:t>or the purposes of determining overall statewide employment, it is recommended that data in the </a:t>
          </a:r>
          <a:r>
            <a:rPr lang="en-AU" sz="1100" b="1">
              <a:solidFill>
                <a:schemeClr val="dk1"/>
              </a:solidFill>
              <a:effectLst/>
              <a:latin typeface="+mn-lt"/>
              <a:ea typeface="+mn-ea"/>
              <a:cs typeface="+mn-cs"/>
            </a:rPr>
            <a:t>Mining Employment</a:t>
          </a:r>
          <a:r>
            <a:rPr lang="en-AU" sz="1100" b="1" baseline="0">
              <a:solidFill>
                <a:schemeClr val="dk1"/>
              </a:solidFill>
              <a:effectLst/>
              <a:latin typeface="+mn-lt"/>
              <a:ea typeface="+mn-ea"/>
              <a:cs typeface="+mn-cs"/>
            </a:rPr>
            <a:t> </a:t>
          </a:r>
          <a:r>
            <a:rPr lang="en-AU" sz="1100" b="1">
              <a:solidFill>
                <a:schemeClr val="dk1"/>
              </a:solidFill>
              <a:effectLst/>
              <a:latin typeface="+mn-lt"/>
              <a:ea typeface="+mn-ea"/>
              <a:cs typeface="+mn-cs"/>
            </a:rPr>
            <a:t>Calendar Year  </a:t>
          </a:r>
          <a:r>
            <a:rPr lang="en-AU" sz="1100">
              <a:solidFill>
                <a:schemeClr val="dk1"/>
              </a:solidFill>
              <a:effectLst/>
              <a:latin typeface="+mn-lt"/>
              <a:ea typeface="+mn-ea"/>
              <a:cs typeface="+mn-cs"/>
            </a:rPr>
            <a:t>or </a:t>
          </a:r>
          <a:r>
            <a:rPr lang="en-AU" sz="1100" b="1">
              <a:solidFill>
                <a:schemeClr val="dk1"/>
              </a:solidFill>
              <a:effectLst/>
              <a:latin typeface="+mn-lt"/>
              <a:ea typeface="+mn-ea"/>
              <a:cs typeface="+mn-cs"/>
            </a:rPr>
            <a:t>Mining Employment Financial Year </a:t>
          </a:r>
          <a:r>
            <a:rPr lang="en-AU" sz="1100">
              <a:solidFill>
                <a:schemeClr val="dk1"/>
              </a:solidFill>
              <a:effectLst/>
              <a:latin typeface="+mn-lt"/>
              <a:ea typeface="+mn-ea"/>
              <a:cs typeface="+mn-cs"/>
            </a:rPr>
            <a:t>sheets be utilised to minimise the impact of rounding.</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It is important to</a:t>
          </a:r>
          <a:r>
            <a:rPr lang="en-AU" sz="1100" baseline="0">
              <a:solidFill>
                <a:schemeClr val="dk1"/>
              </a:solidFill>
              <a:effectLst/>
              <a:latin typeface="+mn-lt"/>
              <a:ea typeface="+mn-ea"/>
              <a:cs typeface="+mn-cs"/>
            </a:rPr>
            <a:t> note that this mining employment data is </a:t>
          </a:r>
          <a:r>
            <a:rPr lang="en-AU" sz="1100">
              <a:solidFill>
                <a:schemeClr val="dk1"/>
              </a:solidFill>
              <a:effectLst/>
              <a:latin typeface="+mn-lt"/>
              <a:ea typeface="+mn-ea"/>
              <a:cs typeface="+mn-cs"/>
            </a:rPr>
            <a:t>not directly comparable with that collected by the Australian Bureau of Statistics.</a:t>
          </a:r>
          <a:r>
            <a:rPr lang="en-AU" sz="1100" baseline="0">
              <a:solidFill>
                <a:schemeClr val="dk1"/>
              </a:solidFill>
              <a:effectLst/>
              <a:latin typeface="+mn-lt"/>
              <a:ea typeface="+mn-ea"/>
              <a:cs typeface="+mn-cs"/>
            </a:rPr>
            <a:t> The ABS data </a:t>
          </a:r>
          <a:r>
            <a:rPr lang="en-AU" sz="1100">
              <a:solidFill>
                <a:schemeClr val="dk1"/>
              </a:solidFill>
              <a:effectLst/>
              <a:latin typeface="+mn-lt"/>
              <a:ea typeface="+mn-ea"/>
              <a:cs typeface="+mn-cs"/>
            </a:rPr>
            <a:t>is classified using reference to the Australian and New Zealand Standard Industrial Classification (ANZSIC). Not all on-site</a:t>
          </a:r>
          <a:r>
            <a:rPr lang="en-AU" sz="1100" baseline="0">
              <a:solidFill>
                <a:schemeClr val="dk1"/>
              </a:solidFill>
              <a:effectLst/>
              <a:latin typeface="+mn-lt"/>
              <a:ea typeface="+mn-ea"/>
              <a:cs typeface="+mn-cs"/>
            </a:rPr>
            <a:t> </a:t>
          </a:r>
          <a:r>
            <a:rPr lang="en-AU" sz="1100">
              <a:solidFill>
                <a:schemeClr val="dk1"/>
              </a:solidFill>
              <a:effectLst/>
              <a:latin typeface="+mn-lt"/>
              <a:ea typeface="+mn-ea"/>
              <a:cs typeface="+mn-cs"/>
            </a:rPr>
            <a:t>mining and mineral exploration employment is reflected in the ABS’s Mining Division under ANZSIC. For example:</a:t>
          </a:r>
          <a:r>
            <a:rPr lang="en-AU" sz="1100" baseline="0">
              <a:solidFill>
                <a:schemeClr val="dk1"/>
              </a:solidFill>
              <a:effectLst/>
              <a:latin typeface="+mn-lt"/>
              <a:ea typeface="+mn-ea"/>
              <a:cs typeface="+mn-cs"/>
            </a:rPr>
            <a:t> </a:t>
          </a:r>
          <a:r>
            <a:rPr lang="en-AU" sz="1100">
              <a:solidFill>
                <a:schemeClr val="dk1"/>
              </a:solidFill>
              <a:effectLst/>
              <a:latin typeface="+mn-lt"/>
              <a:ea typeface="+mn-ea"/>
              <a:cs typeface="+mn-cs"/>
            </a:rPr>
            <a:t>catering personnel working are reflected in the Accommodation and Food Services classification; transport personnel (truck and train drivers) are reflected in the Transport, Postal and Warehousing; contractors employed in site preparation and removing overburden at a mine site on a contract or fee basis are listed under Site Preparation Services;</a:t>
          </a:r>
          <a:r>
            <a:rPr lang="en-AU" sz="1100" baseline="0">
              <a:solidFill>
                <a:schemeClr val="dk1"/>
              </a:solidFill>
              <a:effectLst/>
              <a:latin typeface="+mn-lt"/>
              <a:ea typeface="+mn-ea"/>
              <a:cs typeface="+mn-cs"/>
            </a:rPr>
            <a:t> those e</a:t>
          </a:r>
          <a:r>
            <a:rPr lang="en-AU" sz="1100">
              <a:solidFill>
                <a:schemeClr val="dk1"/>
              </a:solidFill>
              <a:effectLst/>
              <a:latin typeface="+mn-lt"/>
              <a:ea typeface="+mn-ea"/>
              <a:cs typeface="+mn-cs"/>
            </a:rPr>
            <a:t>mployees engaged in the</a:t>
          </a:r>
          <a:r>
            <a:rPr lang="en-AU" sz="1100" baseline="0">
              <a:solidFill>
                <a:schemeClr val="dk1"/>
              </a:solidFill>
              <a:effectLst/>
              <a:latin typeface="+mn-lt"/>
              <a:ea typeface="+mn-ea"/>
              <a:cs typeface="+mn-cs"/>
            </a:rPr>
            <a:t> </a:t>
          </a:r>
          <a:r>
            <a:rPr lang="en-AU" sz="1100">
              <a:solidFill>
                <a:schemeClr val="dk1"/>
              </a:solidFill>
              <a:effectLst/>
              <a:latin typeface="+mn-lt"/>
              <a:ea typeface="+mn-ea"/>
              <a:cs typeface="+mn-cs"/>
            </a:rPr>
            <a:t>production of pig iron, hot briquetted iron, alumina, the smelting and refining of metals and petroleum refining or blending are included in Manufacturing; employees providing geophysical surveying services on a contract or fee basis are included in Surveying and Mapping Services. The Mining Division also includes persons involved in Oil and Gas Extraction.</a:t>
          </a:r>
        </a:p>
        <a:p>
          <a:endParaRPr lang="en-AU" sz="1100">
            <a:solidFill>
              <a:schemeClr val="dk1"/>
            </a:solidFill>
            <a:effectLst/>
            <a:latin typeface="+mn-lt"/>
            <a:ea typeface="+mn-ea"/>
            <a:cs typeface="+mn-cs"/>
          </a:endParaRPr>
        </a:p>
        <a:p>
          <a:pPr eaLnBrk="1" fontAlgn="auto" latinLnBrk="0" hangingPunct="1"/>
          <a:r>
            <a:rPr lang="en-AU" sz="1100" baseline="0">
              <a:solidFill>
                <a:schemeClr val="dk1"/>
              </a:solidFill>
              <a:effectLst/>
              <a:latin typeface="+mn-lt"/>
              <a:ea typeface="+mn-ea"/>
              <a:cs typeface="+mn-cs"/>
            </a:rPr>
            <a:t>Due to differences in methodology and classifications, the mining employment data should also not be combined with the data provided on the </a:t>
          </a:r>
          <a:r>
            <a:rPr lang="en-AU" sz="1100" b="1" baseline="0">
              <a:solidFill>
                <a:schemeClr val="dk1"/>
              </a:solidFill>
              <a:effectLst/>
              <a:latin typeface="+mn-lt"/>
              <a:ea typeface="+mn-ea"/>
              <a:cs typeface="+mn-cs"/>
            </a:rPr>
            <a:t>Petroleum Employment </a:t>
          </a:r>
          <a:r>
            <a:rPr lang="en-AU" sz="1100" baseline="0">
              <a:solidFill>
                <a:schemeClr val="dk1"/>
              </a:solidFill>
              <a:effectLst/>
              <a:latin typeface="+mn-lt"/>
              <a:ea typeface="+mn-ea"/>
              <a:cs typeface="+mn-cs"/>
            </a:rPr>
            <a:t>sheet of this publication.</a:t>
          </a:r>
          <a:endParaRPr lang="en-AU">
            <a:effectLst/>
          </a:endParaRPr>
        </a:p>
        <a:p>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a:effectLst/>
          </a:endParaRP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 </a:t>
          </a:r>
        </a:p>
        <a:p>
          <a:r>
            <a:rPr lang="en-AU" sz="1100">
              <a:solidFill>
                <a:schemeClr val="dk1"/>
              </a:solidFill>
              <a:effectLst/>
              <a:latin typeface="+mn-lt"/>
              <a:ea typeface="+mn-ea"/>
              <a:cs typeface="+mn-cs"/>
            </a:rPr>
            <a:t> </a:t>
          </a:r>
        </a:p>
        <a:p>
          <a:endParaRPr lang="en-AU" sz="1100">
            <a:solidFill>
              <a:schemeClr val="dk1"/>
            </a:solidFill>
            <a:effectLst/>
            <a:latin typeface="+mn-lt"/>
            <a:ea typeface="+mn-ea"/>
            <a:cs typeface="+mn-cs"/>
          </a:endParaRPr>
        </a:p>
        <a:p>
          <a:endParaRPr lang="en-AU" sz="1100"/>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2622122</xdr:colOff>
      <xdr:row>4</xdr:row>
      <xdr:rowOff>7251</xdr:rowOff>
    </xdr:to>
    <xdr:pic>
      <xdr:nvPicPr>
        <xdr:cNvPr id="2" name="Picture 1">
          <a:hlinkClick xmlns:r="http://schemas.openxmlformats.org/officeDocument/2006/relationships" r:id="rId1"/>
          <a:extLst>
            <a:ext uri="{FF2B5EF4-FFF2-40B4-BE49-F238E27FC236}">
              <a16:creationId xmlns:a16="http://schemas.microsoft.com/office/drawing/2014/main" id="{518A9B25-8E65-44B8-BEC2-37EECCE03A5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393272</xdr:colOff>
      <xdr:row>4</xdr:row>
      <xdr:rowOff>7251</xdr:rowOff>
    </xdr:to>
    <xdr:pic>
      <xdr:nvPicPr>
        <xdr:cNvPr id="2" name="Picture 1">
          <a:hlinkClick xmlns:r="http://schemas.openxmlformats.org/officeDocument/2006/relationships" r:id="rId1"/>
          <a:extLst>
            <a:ext uri="{FF2B5EF4-FFF2-40B4-BE49-F238E27FC236}">
              <a16:creationId xmlns:a16="http://schemas.microsoft.com/office/drawing/2014/main" id="{30011547-1A4B-4C04-9E5B-CF304CAA1CC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twoCellAnchor editAs="oneCell">
    <xdr:from>
      <xdr:col>7</xdr:col>
      <xdr:colOff>0</xdr:colOff>
      <xdr:row>17</xdr:row>
      <xdr:rowOff>190499</xdr:rowOff>
    </xdr:from>
    <xdr:to>
      <xdr:col>11</xdr:col>
      <xdr:colOff>208875</xdr:colOff>
      <xdr:row>38</xdr:row>
      <xdr:rowOff>149999</xdr:rowOff>
    </xdr:to>
    <xdr:graphicFrame macro="">
      <xdr:nvGraphicFramePr>
        <xdr:cNvPr id="3" name="Chart 2">
          <a:extLst>
            <a:ext uri="{FF2B5EF4-FFF2-40B4-BE49-F238E27FC236}">
              <a16:creationId xmlns:a16="http://schemas.microsoft.com/office/drawing/2014/main" id="{CD0CA735-371B-4AA1-9B57-C470E569FF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11</xdr:col>
      <xdr:colOff>733424</xdr:colOff>
      <xdr:row>18</xdr:row>
      <xdr:rowOff>0</xdr:rowOff>
    </xdr:from>
    <xdr:to>
      <xdr:col>16</xdr:col>
      <xdr:colOff>208874</xdr:colOff>
      <xdr:row>38</xdr:row>
      <xdr:rowOff>150000</xdr:rowOff>
    </xdr:to>
    <xdr:graphicFrame macro="">
      <xdr:nvGraphicFramePr>
        <xdr:cNvPr id="4" name="Chart 3">
          <a:extLst>
            <a:ext uri="{FF2B5EF4-FFF2-40B4-BE49-F238E27FC236}">
              <a16:creationId xmlns:a16="http://schemas.microsoft.com/office/drawing/2014/main" id="{55ADFAAC-BDFC-495D-B783-AF8A731E42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6</xdr:col>
      <xdr:colOff>246528</xdr:colOff>
      <xdr:row>40</xdr:row>
      <xdr:rowOff>0</xdr:rowOff>
    </xdr:from>
    <xdr:to>
      <xdr:col>11</xdr:col>
      <xdr:colOff>211675</xdr:colOff>
      <xdr:row>60</xdr:row>
      <xdr:rowOff>150000</xdr:rowOff>
    </xdr:to>
    <xdr:sp macro="" textlink="">
      <xdr:nvSpPr>
        <xdr:cNvPr id="6" name="TextBox 5">
          <a:extLst>
            <a:ext uri="{FF2B5EF4-FFF2-40B4-BE49-F238E27FC236}">
              <a16:creationId xmlns:a16="http://schemas.microsoft.com/office/drawing/2014/main" id="{0A7072E0-B54B-4387-8442-1B72FDA85660}"/>
            </a:ext>
          </a:extLst>
        </xdr:cNvPr>
        <xdr:cNvSpPr txBox="1"/>
      </xdr:nvSpPr>
      <xdr:spPr>
        <a:xfrm>
          <a:off x="5031440" y="8202706"/>
          <a:ext cx="5400000" cy="396000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solidFill>
                <a:schemeClr val="dk1"/>
              </a:solidFill>
              <a:effectLst/>
              <a:latin typeface="+mn-lt"/>
              <a:ea typeface="+mn-ea"/>
              <a:cs typeface="+mn-cs"/>
            </a:rPr>
            <a:t>Petroleum employment data here represents the numbers of persons employed</a:t>
          </a:r>
          <a:r>
            <a:rPr lang="en-AU" sz="1100" baseline="0">
              <a:solidFill>
                <a:schemeClr val="dk1"/>
              </a:solidFill>
              <a:effectLst/>
              <a:latin typeface="+mn-lt"/>
              <a:ea typeface="+mn-ea"/>
              <a:cs typeface="+mn-cs"/>
            </a:rPr>
            <a:t> in the 'Oil and Gas Extraction' class of the </a:t>
          </a:r>
          <a:r>
            <a:rPr lang="en-AU" sz="1100">
              <a:solidFill>
                <a:schemeClr val="dk1"/>
              </a:solidFill>
              <a:effectLst/>
              <a:latin typeface="+mn-lt"/>
              <a:ea typeface="+mn-ea"/>
              <a:cs typeface="+mn-cs"/>
            </a:rPr>
            <a:t>Australian and New Zealand Standard Industrial Classification (ANZSIC)</a:t>
          </a:r>
          <a:r>
            <a:rPr lang="en-AU" sz="1100" baseline="0">
              <a:solidFill>
                <a:schemeClr val="dk1"/>
              </a:solidFill>
              <a:effectLst/>
              <a:latin typeface="+mn-lt"/>
              <a:ea typeface="+mn-ea"/>
              <a:cs typeface="+mn-cs"/>
            </a:rPr>
            <a:t> in WA.</a:t>
          </a:r>
          <a:endParaRPr lang="en-AU" sz="1100">
            <a:solidFill>
              <a:schemeClr val="dk1"/>
            </a:solidFill>
            <a:effectLst/>
            <a:latin typeface="+mn-lt"/>
            <a:ea typeface="+mn-ea"/>
            <a:cs typeface="+mn-cs"/>
          </a:endParaRPr>
        </a:p>
        <a:p>
          <a:endParaRPr lang="en-AU"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aseline="0">
              <a:solidFill>
                <a:schemeClr val="dk1"/>
              </a:solidFill>
              <a:effectLst/>
              <a:latin typeface="+mn-lt"/>
              <a:ea typeface="+mn-ea"/>
              <a:cs typeface="+mn-cs"/>
            </a:rPr>
            <a:t>It includes onshore, coastal waters, and offshore areas. </a:t>
          </a:r>
          <a:r>
            <a:rPr lang="en-AU" sz="1100">
              <a:solidFill>
                <a:schemeClr val="dk1"/>
              </a:solidFill>
              <a:effectLst/>
              <a:latin typeface="+mn-lt"/>
              <a:ea typeface="+mn-ea"/>
              <a:cs typeface="+mn-cs"/>
            </a:rPr>
            <a:t>It includes persons mainly engaged in producing crude oil, natural gas or condensate through the extraction of oil and gas deposits,</a:t>
          </a:r>
          <a:r>
            <a:rPr lang="en-AU" sz="1100" baseline="0">
              <a:solidFill>
                <a:schemeClr val="dk1"/>
              </a:solidFill>
              <a:effectLst/>
              <a:latin typeface="+mn-lt"/>
              <a:ea typeface="+mn-ea"/>
              <a:cs typeface="+mn-cs"/>
            </a:rPr>
            <a:t> including LNG facilities. </a:t>
          </a:r>
        </a:p>
        <a:p>
          <a:pPr marL="0" marR="0" lvl="0" indent="0" defTabSz="914400" eaLnBrk="1" fontAlgn="auto" latinLnBrk="0" hangingPunct="1">
            <a:lnSpc>
              <a:spcPct val="100000"/>
            </a:lnSpc>
            <a:spcBef>
              <a:spcPts val="0"/>
            </a:spcBef>
            <a:spcAft>
              <a:spcPts val="0"/>
            </a:spcAft>
            <a:buClrTx/>
            <a:buSzTx/>
            <a:buFontTx/>
            <a:buNone/>
            <a:tabLst/>
            <a:defRPr/>
          </a:pPr>
          <a:endParaRPr lang="en-AU"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aseline="0">
              <a:solidFill>
                <a:schemeClr val="dk1"/>
              </a:solidFill>
              <a:effectLst/>
              <a:latin typeface="+mn-lt"/>
              <a:ea typeface="+mn-ea"/>
              <a:cs typeface="+mn-cs"/>
            </a:rPr>
            <a:t>It does not include </a:t>
          </a:r>
          <a:r>
            <a:rPr lang="en-AU" sz="1100">
              <a:solidFill>
                <a:schemeClr val="dk1"/>
              </a:solidFill>
              <a:effectLst/>
              <a:latin typeface="+mn-lt"/>
              <a:ea typeface="+mn-ea"/>
              <a:cs typeface="+mn-cs"/>
            </a:rPr>
            <a:t>employees engaged in natural gas and petroleum exploration. They</a:t>
          </a:r>
          <a:r>
            <a:rPr lang="en-AU" sz="1100" baseline="0">
              <a:solidFill>
                <a:schemeClr val="dk1"/>
              </a:solidFill>
              <a:effectLst/>
              <a:latin typeface="+mn-lt"/>
              <a:ea typeface="+mn-ea"/>
              <a:cs typeface="+mn-cs"/>
            </a:rPr>
            <a:t> are included under the Exploration subdivision on ANSZIC. There is insufficient data available for this to be reported or included in the figures.</a:t>
          </a:r>
        </a:p>
        <a:p>
          <a:endParaRPr lang="en-AU"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mn-cs"/>
            </a:rPr>
            <a:t>It is important to</a:t>
          </a:r>
          <a:r>
            <a:rPr lang="en-AU" sz="1100" baseline="0">
              <a:solidFill>
                <a:schemeClr val="dk1"/>
              </a:solidFill>
              <a:effectLst/>
              <a:latin typeface="+mn-lt"/>
              <a:ea typeface="+mn-ea"/>
              <a:cs typeface="+mn-cs"/>
            </a:rPr>
            <a:t> note that this data is </a:t>
          </a:r>
          <a:r>
            <a:rPr lang="en-AU" sz="1100">
              <a:solidFill>
                <a:schemeClr val="dk1"/>
              </a:solidFill>
              <a:effectLst/>
              <a:latin typeface="+mn-lt"/>
              <a:ea typeface="+mn-ea"/>
              <a:cs typeface="+mn-cs"/>
            </a:rPr>
            <a:t>not directly comparable with the</a:t>
          </a:r>
          <a:r>
            <a:rPr lang="en-AU" sz="1100" baseline="0">
              <a:solidFill>
                <a:schemeClr val="dk1"/>
              </a:solidFill>
              <a:effectLst/>
              <a:latin typeface="+mn-lt"/>
              <a:ea typeface="+mn-ea"/>
              <a:cs typeface="+mn-cs"/>
            </a:rPr>
            <a:t> petroleum employment data previously published by DMIRS to March 2022 which included only onshore and coastal waters facilities and pipelines previously covered under the WA </a:t>
          </a:r>
          <a:r>
            <a:rPr lang="en-AU" sz="1100" i="1" baseline="0">
              <a:solidFill>
                <a:schemeClr val="dk1"/>
              </a:solidFill>
              <a:effectLst/>
              <a:latin typeface="+mn-lt"/>
              <a:ea typeface="+mn-ea"/>
              <a:cs typeface="+mn-cs"/>
            </a:rPr>
            <a:t>Petroleum Pipelines Act 1969</a:t>
          </a:r>
          <a:r>
            <a:rPr lang="en-AU" sz="1100" baseline="0">
              <a:solidFill>
                <a:schemeClr val="dk1"/>
              </a:solidFill>
              <a:effectLst/>
              <a:latin typeface="+mn-lt"/>
              <a:ea typeface="+mn-ea"/>
              <a:cs typeface="+mn-cs"/>
            </a:rPr>
            <a:t>, </a:t>
          </a:r>
          <a:r>
            <a:rPr lang="en-AU" sz="1100" i="1" baseline="0">
              <a:solidFill>
                <a:schemeClr val="dk1"/>
              </a:solidFill>
              <a:effectLst/>
              <a:latin typeface="+mn-lt"/>
              <a:ea typeface="+mn-ea"/>
              <a:cs typeface="+mn-cs"/>
            </a:rPr>
            <a:t>Petroleum (Submerged Lands) Act 1982</a:t>
          </a:r>
          <a:r>
            <a:rPr lang="en-AU" sz="1100" baseline="0">
              <a:solidFill>
                <a:schemeClr val="dk1"/>
              </a:solidFill>
              <a:effectLst/>
              <a:latin typeface="+mn-lt"/>
              <a:ea typeface="+mn-ea"/>
              <a:cs typeface="+mn-cs"/>
            </a:rPr>
            <a:t>, and </a:t>
          </a:r>
          <a:r>
            <a:rPr lang="en-AU" sz="1100" i="1" baseline="0">
              <a:solidFill>
                <a:schemeClr val="dk1"/>
              </a:solidFill>
              <a:effectLst/>
              <a:latin typeface="+mn-lt"/>
              <a:ea typeface="+mn-ea"/>
              <a:cs typeface="+mn-cs"/>
            </a:rPr>
            <a:t>Petroleum and Geothermal Energy Resources Act 1967</a:t>
          </a:r>
          <a:r>
            <a:rPr lang="en-AU" sz="1100" baseline="0">
              <a:solidFill>
                <a:schemeClr val="dk1"/>
              </a:solidFill>
              <a:effectLst/>
              <a:latin typeface="+mn-lt"/>
              <a:ea typeface="+mn-ea"/>
              <a:cs typeface="+mn-cs"/>
            </a:rPr>
            <a:t>. This was discontinued in March 2022 due to changes in reporting requirements under the </a:t>
          </a:r>
          <a:r>
            <a:rPr lang="en-AU" sz="1100" i="1" baseline="0">
              <a:solidFill>
                <a:schemeClr val="dk1"/>
              </a:solidFill>
              <a:effectLst/>
              <a:latin typeface="+mn-lt"/>
              <a:ea typeface="+mn-ea"/>
              <a:cs typeface="+mn-cs"/>
            </a:rPr>
            <a:t>Work Health and Safety Act 2020</a:t>
          </a:r>
          <a:r>
            <a:rPr lang="en-AU" sz="1100" baseline="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en-AU"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aseline="0">
              <a:solidFill>
                <a:schemeClr val="dk1"/>
              </a:solidFill>
              <a:effectLst/>
              <a:latin typeface="+mn-lt"/>
              <a:ea typeface="+mn-ea"/>
              <a:cs typeface="+mn-cs"/>
            </a:rPr>
            <a:t>Due to differences in methodology and classifications, it should also not be combined with the mining employment data provided as part of this publication.</a:t>
          </a:r>
          <a:endParaRPr lang="en-AU" sz="1100">
            <a:solidFill>
              <a:schemeClr val="dk1"/>
            </a:solidFill>
            <a:effectLst/>
            <a:latin typeface="+mn-lt"/>
            <a:ea typeface="+mn-ea"/>
            <a:cs typeface="+mn-cs"/>
          </a:endParaRPr>
        </a:p>
      </xdr:txBody>
    </xdr:sp>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2622122</xdr:colOff>
      <xdr:row>3</xdr:row>
      <xdr:rowOff>169176</xdr:rowOff>
    </xdr:to>
    <xdr:pic>
      <xdr:nvPicPr>
        <xdr:cNvPr id="2" name="Picture 1">
          <a:hlinkClick xmlns:r="http://schemas.openxmlformats.org/officeDocument/2006/relationships" r:id="rId1"/>
          <a:extLst>
            <a:ext uri="{FF2B5EF4-FFF2-40B4-BE49-F238E27FC236}">
              <a16:creationId xmlns:a16="http://schemas.microsoft.com/office/drawing/2014/main" id="{37359155-D8C7-40F7-86DA-23F4313D598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622122" cy="769251"/>
        </a:xfrm>
        <a:prstGeom prst="rect">
          <a:avLst/>
        </a:prstGeom>
      </xdr:spPr>
    </xdr:pic>
    <xdr:clientData/>
  </xdr:twoCellAnchor>
  <xdr:twoCellAnchor editAs="oneCell">
    <xdr:from>
      <xdr:col>0</xdr:col>
      <xdr:colOff>0</xdr:colOff>
      <xdr:row>12</xdr:row>
      <xdr:rowOff>0</xdr:rowOff>
    </xdr:from>
    <xdr:to>
      <xdr:col>0</xdr:col>
      <xdr:colOff>4320000</xdr:colOff>
      <xdr:row>25</xdr:row>
      <xdr:rowOff>43500</xdr:rowOff>
    </xdr:to>
    <xdr:sp macro="" textlink="">
      <xdr:nvSpPr>
        <xdr:cNvPr id="3" name="TextBox 2">
          <a:extLst>
            <a:ext uri="{FF2B5EF4-FFF2-40B4-BE49-F238E27FC236}">
              <a16:creationId xmlns:a16="http://schemas.microsoft.com/office/drawing/2014/main" id="{5F2DB652-007F-4DC0-B275-C40F865B636C}"/>
            </a:ext>
          </a:extLst>
        </xdr:cNvPr>
        <xdr:cNvSpPr txBox="1"/>
      </xdr:nvSpPr>
      <xdr:spPr>
        <a:xfrm>
          <a:off x="0" y="2343150"/>
          <a:ext cx="4320000" cy="252000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solidFill>
                <a:schemeClr val="dk1"/>
              </a:solidFill>
              <a:effectLst/>
              <a:latin typeface="+mn-lt"/>
              <a:ea typeface="+mn-ea"/>
              <a:cs typeface="+mn-cs"/>
            </a:rPr>
            <a:t>Petroleum employment data here includes only onshore and coastal waters facilities and pipelines previously covered under the WA </a:t>
          </a:r>
          <a:r>
            <a:rPr lang="en-AU" sz="1100" i="1">
              <a:solidFill>
                <a:schemeClr val="dk1"/>
              </a:solidFill>
              <a:effectLst/>
              <a:latin typeface="+mn-lt"/>
              <a:ea typeface="+mn-ea"/>
              <a:cs typeface="+mn-cs"/>
            </a:rPr>
            <a:t>Petroleum Pipelines Act 1969</a:t>
          </a:r>
          <a:r>
            <a:rPr lang="en-AU" sz="1100">
              <a:solidFill>
                <a:schemeClr val="dk1"/>
              </a:solidFill>
              <a:effectLst/>
              <a:latin typeface="+mn-lt"/>
              <a:ea typeface="+mn-ea"/>
              <a:cs typeface="+mn-cs"/>
            </a:rPr>
            <a:t>, </a:t>
          </a:r>
          <a:r>
            <a:rPr lang="en-AU" sz="1100" i="1">
              <a:solidFill>
                <a:schemeClr val="dk1"/>
              </a:solidFill>
              <a:effectLst/>
              <a:latin typeface="+mn-lt"/>
              <a:ea typeface="+mn-ea"/>
              <a:cs typeface="+mn-cs"/>
            </a:rPr>
            <a:t>Petroleum (Submerged Lands) Act 1982</a:t>
          </a:r>
          <a:r>
            <a:rPr lang="en-AU" sz="1100">
              <a:solidFill>
                <a:schemeClr val="dk1"/>
              </a:solidFill>
              <a:effectLst/>
              <a:latin typeface="+mn-lt"/>
              <a:ea typeface="+mn-ea"/>
              <a:cs typeface="+mn-cs"/>
            </a:rPr>
            <a:t>, and </a:t>
          </a:r>
          <a:r>
            <a:rPr lang="en-AU" sz="1100" i="1">
              <a:solidFill>
                <a:schemeClr val="dk1"/>
              </a:solidFill>
              <a:effectLst/>
              <a:latin typeface="+mn-lt"/>
              <a:ea typeface="+mn-ea"/>
              <a:cs typeface="+mn-cs"/>
            </a:rPr>
            <a:t>Petroleum and</a:t>
          </a:r>
          <a:r>
            <a:rPr lang="en-AU" sz="1100" i="1" baseline="0">
              <a:solidFill>
                <a:schemeClr val="dk1"/>
              </a:solidFill>
              <a:effectLst/>
              <a:latin typeface="+mn-lt"/>
              <a:ea typeface="+mn-ea"/>
              <a:cs typeface="+mn-cs"/>
            </a:rPr>
            <a:t> </a:t>
          </a:r>
          <a:r>
            <a:rPr lang="en-AU" sz="1100" i="1">
              <a:solidFill>
                <a:schemeClr val="dk1"/>
              </a:solidFill>
              <a:effectLst/>
              <a:latin typeface="+mn-lt"/>
              <a:ea typeface="+mn-ea"/>
              <a:cs typeface="+mn-cs"/>
            </a:rPr>
            <a:t>Geothermal Energy Resources Act 1967</a:t>
          </a:r>
          <a:r>
            <a:rPr lang="en-AU" sz="110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en-AU"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mn-cs"/>
            </a:rPr>
            <a:t>It does not include LNG and land-based service facilities.</a:t>
          </a:r>
          <a:endParaRPr lang="en-AU">
            <a:effectLst/>
          </a:endParaRP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For petroleum operations under this legislation, employment data was previously provided in monthly safety reports submitted to the Department of Mines, Industry Regulation and Safety. </a:t>
          </a:r>
        </a:p>
        <a:p>
          <a:endParaRPr lang="en-AU" sz="1100" baseline="0">
            <a:solidFill>
              <a:schemeClr val="dk1"/>
            </a:solidFill>
            <a:effectLst/>
            <a:latin typeface="+mn-lt"/>
            <a:ea typeface="+mn-ea"/>
            <a:cs typeface="+mn-cs"/>
          </a:endParaRPr>
        </a:p>
        <a:p>
          <a:r>
            <a:rPr lang="en-AU" sz="1100" baseline="0">
              <a:solidFill>
                <a:schemeClr val="dk1"/>
              </a:solidFill>
              <a:effectLst/>
              <a:latin typeface="+mn-lt"/>
              <a:ea typeface="+mn-ea"/>
              <a:cs typeface="+mn-cs"/>
            </a:rPr>
            <a:t>This data was discontinued in March 2022 due to changes in reporting requirements under the </a:t>
          </a:r>
          <a:r>
            <a:rPr lang="en-AU" sz="1100" i="1" baseline="0">
              <a:solidFill>
                <a:schemeClr val="dk1"/>
              </a:solidFill>
              <a:effectLst/>
              <a:latin typeface="+mn-lt"/>
              <a:ea typeface="+mn-ea"/>
              <a:cs typeface="+mn-cs"/>
            </a:rPr>
            <a:t>Work Health and Safety Act 2020</a:t>
          </a:r>
          <a:r>
            <a:rPr lang="en-AU" sz="1100" baseline="0">
              <a:solidFill>
                <a:schemeClr val="dk1"/>
              </a:solidFill>
              <a:effectLst/>
              <a:latin typeface="+mn-lt"/>
              <a:ea typeface="+mn-ea"/>
              <a:cs typeface="+mn-cs"/>
            </a:rPr>
            <a:t>.</a:t>
          </a:r>
          <a:endParaRPr lang="en-AU"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abs.gov.au/statistics/economy/business-indicators/private-new-capital-expenditure-and-expected-expenditure-australia/latest-release" TargetMode="External"/><Relationship Id="rId3" Type="http://schemas.openxmlformats.org/officeDocument/2006/relationships/hyperlink" Target="http://www.abs.gov.au/ausstats/abs@.nsf/mf/5368.0" TargetMode="External"/><Relationship Id="rId7" Type="http://schemas.openxmlformats.org/officeDocument/2006/relationships/hyperlink" Target="https://www.abs.gov.au/statistics/economy/business-indicators/private-new-capital-expenditure-and-expected-expenditure-australia/latest-release" TargetMode="External"/><Relationship Id="rId2" Type="http://schemas.openxmlformats.org/officeDocument/2006/relationships/hyperlink" Target="https://www.abs.gov.au/ausstats/abs@.nsf/mf/8412.0" TargetMode="External"/><Relationship Id="rId1" Type="http://schemas.openxmlformats.org/officeDocument/2006/relationships/hyperlink" Target="https://www.abs.gov.au/ausstats/abs@.nsf/mf/8412.0" TargetMode="External"/><Relationship Id="rId6" Type="http://schemas.openxmlformats.org/officeDocument/2006/relationships/hyperlink" Target="https://www.abs.gov.au/ausstats/abs@.nsf/mf/5220.0" TargetMode="External"/><Relationship Id="rId11" Type="http://schemas.openxmlformats.org/officeDocument/2006/relationships/drawing" Target="../drawings/drawing2.xml"/><Relationship Id="rId5" Type="http://schemas.openxmlformats.org/officeDocument/2006/relationships/hyperlink" Target="https://www.abs.gov.au/ausstats/abs@.nsf/mf/5220.0" TargetMode="External"/><Relationship Id="rId10" Type="http://schemas.openxmlformats.org/officeDocument/2006/relationships/printerSettings" Target="../printerSettings/printerSettings2.bin"/><Relationship Id="rId4" Type="http://schemas.openxmlformats.org/officeDocument/2006/relationships/hyperlink" Target="https://www.industry.gov.au/data-and-publications/resources-and-energy-quarterly-all" TargetMode="External"/><Relationship Id="rId9" Type="http://schemas.openxmlformats.org/officeDocument/2006/relationships/hyperlink" Target="https://www.abs.gov.au/statistics/labour/employment-and-unemployment/labour-force-australia-detailed/latest-release"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F4C43-3F21-4548-AB21-F05CC61FC8FF}">
  <sheetPr codeName="Sheet2"/>
  <dimension ref="A7:E35"/>
  <sheetViews>
    <sheetView showGridLines="0" tabSelected="1" zoomScaleNormal="100" workbookViewId="0"/>
  </sheetViews>
  <sheetFormatPr defaultColWidth="9.109375" defaultRowHeight="14.4" x14ac:dyDescent="0.3"/>
  <cols>
    <col min="1" max="1" width="26" bestFit="1" customWidth="1"/>
    <col min="2" max="2" width="1.5546875" bestFit="1" customWidth="1"/>
    <col min="3" max="3" width="55.6640625" bestFit="1" customWidth="1"/>
    <col min="4" max="4" width="121.88671875" bestFit="1" customWidth="1"/>
  </cols>
  <sheetData>
    <row r="7" spans="1:5" x14ac:dyDescent="0.3">
      <c r="A7" t="s">
        <v>0</v>
      </c>
      <c r="B7" t="s">
        <v>1</v>
      </c>
      <c r="C7" s="1" t="s">
        <v>2</v>
      </c>
      <c r="D7" t="s">
        <v>3</v>
      </c>
      <c r="E7" s="2"/>
    </row>
    <row r="8" spans="1:5" x14ac:dyDescent="0.3">
      <c r="B8" t="s">
        <v>1</v>
      </c>
      <c r="C8" s="1" t="s">
        <v>4</v>
      </c>
      <c r="D8" t="s">
        <v>5</v>
      </c>
      <c r="E8" s="2"/>
    </row>
    <row r="9" spans="1:5" x14ac:dyDescent="0.3">
      <c r="B9" t="s">
        <v>1</v>
      </c>
      <c r="C9" s="1" t="s">
        <v>6</v>
      </c>
      <c r="D9" t="s">
        <v>7</v>
      </c>
      <c r="E9" s="2"/>
    </row>
    <row r="10" spans="1:5" x14ac:dyDescent="0.3">
      <c r="B10" t="s">
        <v>1</v>
      </c>
      <c r="C10" s="1" t="s">
        <v>8</v>
      </c>
      <c r="D10" t="s">
        <v>9</v>
      </c>
      <c r="E10" s="2"/>
    </row>
    <row r="11" spans="1:5" x14ac:dyDescent="0.3">
      <c r="A11" t="s">
        <v>10</v>
      </c>
      <c r="B11" t="s">
        <v>1</v>
      </c>
      <c r="C11" s="1" t="s">
        <v>11</v>
      </c>
      <c r="D11" t="s">
        <v>12</v>
      </c>
    </row>
    <row r="12" spans="1:5" x14ac:dyDescent="0.3">
      <c r="B12" t="s">
        <v>1</v>
      </c>
      <c r="C12" s="1" t="s">
        <v>13</v>
      </c>
      <c r="D12" t="s">
        <v>14</v>
      </c>
    </row>
    <row r="13" spans="1:5" x14ac:dyDescent="0.3">
      <c r="B13" t="s">
        <v>1</v>
      </c>
      <c r="C13" s="1" t="s">
        <v>15</v>
      </c>
      <c r="D13" t="s">
        <v>16</v>
      </c>
      <c r="E13" s="2"/>
    </row>
    <row r="14" spans="1:5" x14ac:dyDescent="0.3">
      <c r="B14" t="s">
        <v>1</v>
      </c>
      <c r="C14" s="1" t="s">
        <v>17</v>
      </c>
      <c r="D14" t="s">
        <v>18</v>
      </c>
      <c r="E14" s="2"/>
    </row>
    <row r="15" spans="1:5" x14ac:dyDescent="0.3">
      <c r="B15" t="s">
        <v>1</v>
      </c>
      <c r="C15" s="1" t="s">
        <v>19</v>
      </c>
      <c r="D15" t="s">
        <v>20</v>
      </c>
    </row>
    <row r="16" spans="1:5" x14ac:dyDescent="0.3">
      <c r="A16" t="s">
        <v>21</v>
      </c>
      <c r="B16" t="s">
        <v>1</v>
      </c>
      <c r="C16" s="1" t="s">
        <v>22</v>
      </c>
      <c r="D16" t="s">
        <v>23</v>
      </c>
    </row>
    <row r="17" spans="1:5" x14ac:dyDescent="0.3">
      <c r="B17" t="s">
        <v>1</v>
      </c>
      <c r="C17" s="1" t="s">
        <v>24</v>
      </c>
      <c r="D17" t="s">
        <v>25</v>
      </c>
    </row>
    <row r="18" spans="1:5" x14ac:dyDescent="0.3">
      <c r="A18" t="s">
        <v>26</v>
      </c>
      <c r="B18" t="s">
        <v>1</v>
      </c>
      <c r="C18" s="1" t="s">
        <v>27</v>
      </c>
      <c r="D18" t="s">
        <v>28</v>
      </c>
    </row>
    <row r="19" spans="1:5" x14ac:dyDescent="0.3">
      <c r="B19" t="s">
        <v>1</v>
      </c>
      <c r="C19" s="1" t="s">
        <v>29</v>
      </c>
      <c r="D19" t="s">
        <v>30</v>
      </c>
      <c r="E19" s="2"/>
    </row>
    <row r="20" spans="1:5" x14ac:dyDescent="0.3">
      <c r="B20" t="s">
        <v>1</v>
      </c>
      <c r="C20" s="1" t="s">
        <v>31</v>
      </c>
      <c r="D20" t="s">
        <v>32</v>
      </c>
      <c r="E20" s="2"/>
    </row>
    <row r="21" spans="1:5" x14ac:dyDescent="0.3">
      <c r="B21" t="s">
        <v>1</v>
      </c>
      <c r="C21" s="1" t="s">
        <v>705</v>
      </c>
      <c r="D21" t="s">
        <v>704</v>
      </c>
      <c r="E21" s="2"/>
    </row>
    <row r="22" spans="1:5" x14ac:dyDescent="0.3">
      <c r="B22" t="s">
        <v>1</v>
      </c>
      <c r="C22" s="1" t="s">
        <v>33</v>
      </c>
      <c r="D22" t="s">
        <v>34</v>
      </c>
    </row>
    <row r="23" spans="1:5" x14ac:dyDescent="0.3">
      <c r="A23" s="3"/>
      <c r="B23" t="s">
        <v>1</v>
      </c>
      <c r="C23" s="1" t="s">
        <v>35</v>
      </c>
      <c r="D23" t="s">
        <v>36</v>
      </c>
      <c r="E23" s="2"/>
    </row>
    <row r="24" spans="1:5" x14ac:dyDescent="0.3">
      <c r="B24" t="s">
        <v>1</v>
      </c>
      <c r="C24" s="1" t="s">
        <v>37</v>
      </c>
      <c r="D24" t="s">
        <v>38</v>
      </c>
      <c r="E24" s="2"/>
    </row>
    <row r="25" spans="1:5" x14ac:dyDescent="0.3">
      <c r="A25" t="s">
        <v>39</v>
      </c>
      <c r="B25" t="s">
        <v>1</v>
      </c>
      <c r="C25" s="1" t="s">
        <v>39</v>
      </c>
      <c r="D25" t="s">
        <v>40</v>
      </c>
      <c r="E25" s="2"/>
    </row>
    <row r="26" spans="1:5" x14ac:dyDescent="0.3">
      <c r="A26" t="s">
        <v>41</v>
      </c>
      <c r="B26" t="s">
        <v>1</v>
      </c>
      <c r="C26" s="1" t="s">
        <v>42</v>
      </c>
    </row>
    <row r="27" spans="1:5" x14ac:dyDescent="0.3">
      <c r="E27" s="2"/>
    </row>
    <row r="29" spans="1:5" x14ac:dyDescent="0.3">
      <c r="E29" s="2"/>
    </row>
    <row r="31" spans="1:5" x14ac:dyDescent="0.3">
      <c r="D31" s="2"/>
    </row>
    <row r="35" spans="4:4" x14ac:dyDescent="0.3">
      <c r="D35" s="2"/>
    </row>
  </sheetData>
  <hyperlinks>
    <hyperlink ref="C26" location="'Data Sources'!A1" display="Sources" xr:uid="{8AB2321D-161C-4C61-B7D9-7B92C258204E}"/>
    <hyperlink ref="C10" location="'Mining Investment'!A1" display="Mining Investment" xr:uid="{538DB861-40A6-4C22-B32F-9DAEF1E82BBE}"/>
    <hyperlink ref="C14" location="'Pet. Exploration Expenditure'!A1" display="Petroleum Exploration" xr:uid="{CA3D5241-F94F-4699-97A3-A93A8D197041}"/>
    <hyperlink ref="C21" location="'Mining Employment By Project'!R1C1" display="Mining Employment By Project" xr:uid="{99D764B2-A1F2-4361-BDE3-C76F62673FD7}"/>
    <hyperlink ref="C18" location="'Mining Employment CY'!A1" display="Mining Employment Calendar Year" xr:uid="{AA375BA3-559F-4DC4-B1EA-3C99D7BE79F5}"/>
    <hyperlink ref="C20" location="'Mining Employment Report Period'!A1" display="Mining Employment Report Period" xr:uid="{FD222B75-1337-4CC3-847A-1A487A600CBB}"/>
    <hyperlink ref="C17" location="'Royalties Historic'!A1" display="Royalties Historic" xr:uid="{547CFCED-E406-4ADC-9E59-5D421593419D}"/>
    <hyperlink ref="C16" location="'Royalties 2-years'!A1" display="Royalties 2-years" xr:uid="{08CA63BC-1C1E-4460-B8C1-6D707F3369F9}"/>
    <hyperlink ref="C22" location="'Mining Employment CY Pre-2001'!A1" display="Mining Employment By Calendar Year Pre-2001" xr:uid="{5A933EBF-1C0E-4066-AB86-5428F586B1A6}"/>
    <hyperlink ref="C25" location="'How To Use'!A1" display="How to Use" xr:uid="{438B1C02-B2D4-46A2-BC89-4EA6983F0848}"/>
    <hyperlink ref="C13" location="'Min. Expl. Metres Drilled'!A1" display="Mineral Exploration Drilling" xr:uid="{AA95C86F-1F3B-4F00-AEB5-9E430D4A72BD}"/>
    <hyperlink ref="C11" location="'Min. Expl. By Commodity'!A1" display="Mineral Exploration Major Commodities" xr:uid="{3B240470-A716-47E4-A6BA-E10237E6FE35}"/>
    <hyperlink ref="C19" location="'Mining Employment FY'!A1" display="Mining Employment Financial Year" xr:uid="{DA689823-6838-4B77-A19B-9FB6D1E244BA}"/>
    <hyperlink ref="C15" location="'Pet. Expl. By Location'!A1" display="Petroleum Exploration By Location" xr:uid="{A3252605-ED9D-4267-9D1C-A391E7121269}"/>
    <hyperlink ref="C12" location="'Min. Expl. By Type'!A1" display="Mineral Exploration By Type" xr:uid="{AFEBEA41-DC92-4915-A101-D9F1547C94DD}"/>
    <hyperlink ref="C23" location="'Petroleum Employment'!A1" display="Petroleum Employment" xr:uid="{6995B09B-C281-402F-A537-2FFE915FCE09}"/>
    <hyperlink ref="C7" location="'Mining Economic Impact'!A1" display="Mining Economic Impact" xr:uid="{E9089F79-524A-490A-B20D-19ABCFB2B9F3}"/>
    <hyperlink ref="C9" location="'Exports Historic'!A1" display="Exports Historic" xr:uid="{1D06A53B-99AE-4359-AB1A-DE5884D1FB4A}"/>
    <hyperlink ref="C8" location="'Exports 2-years'!A1" display="Exports 2-years" xr:uid="{B1B3129E-456F-44CF-BD95-E5F9B140C009}"/>
    <hyperlink ref="C24" location="'Pet. Emp. Jan 2010 to Mar 2022'!A1" display="Petroleum Employment Monthly January 2010 to March 2022" xr:uid="{6F503BA0-B014-4C03-BD0D-78A515DAD271}"/>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B1ABC-E955-43BD-97DB-BBC6001F0D62}">
  <sheetPr codeName="Sheet3"/>
  <dimension ref="A6:E30"/>
  <sheetViews>
    <sheetView showGridLines="0" workbookViewId="0"/>
  </sheetViews>
  <sheetFormatPr defaultColWidth="9.109375" defaultRowHeight="14.4" x14ac:dyDescent="0.3"/>
  <cols>
    <col min="1" max="1" width="66.88671875" customWidth="1"/>
    <col min="2" max="2" width="1.44140625" bestFit="1" customWidth="1"/>
    <col min="3" max="3" width="72.109375" bestFit="1" customWidth="1"/>
    <col min="4" max="4" width="108.44140625" customWidth="1"/>
    <col min="5" max="5" width="73.88671875" bestFit="1" customWidth="1"/>
  </cols>
  <sheetData>
    <row r="6" spans="1:5" x14ac:dyDescent="0.3">
      <c r="A6" s="4" t="s">
        <v>41</v>
      </c>
      <c r="B6" s="4"/>
      <c r="C6" s="4" t="s">
        <v>43</v>
      </c>
      <c r="D6" s="4" t="s">
        <v>44</v>
      </c>
    </row>
    <row r="7" spans="1:5" x14ac:dyDescent="0.3">
      <c r="A7" t="s">
        <v>45</v>
      </c>
      <c r="B7" t="s">
        <v>1</v>
      </c>
      <c r="C7" s="5" t="s">
        <v>46</v>
      </c>
      <c r="D7" s="1" t="s">
        <v>47</v>
      </c>
    </row>
    <row r="8" spans="1:5" x14ac:dyDescent="0.3">
      <c r="A8" t="s">
        <v>48</v>
      </c>
      <c r="B8" t="s">
        <v>1</v>
      </c>
      <c r="C8" t="s">
        <v>49</v>
      </c>
      <c r="D8" s="1" t="s">
        <v>47</v>
      </c>
    </row>
    <row r="9" spans="1:5" ht="14.25" customHeight="1" x14ac:dyDescent="0.3">
      <c r="A9" t="s">
        <v>50</v>
      </c>
      <c r="B9" t="s">
        <v>1</v>
      </c>
      <c r="C9" t="s">
        <v>49</v>
      </c>
      <c r="D9" s="1" t="s">
        <v>51</v>
      </c>
    </row>
    <row r="10" spans="1:5" x14ac:dyDescent="0.3">
      <c r="A10" t="s">
        <v>52</v>
      </c>
      <c r="B10" t="s">
        <v>1</v>
      </c>
      <c r="C10" s="5" t="s">
        <v>49</v>
      </c>
      <c r="D10" s="1" t="s">
        <v>51</v>
      </c>
    </row>
    <row r="11" spans="1:5" x14ac:dyDescent="0.3">
      <c r="A11" t="s">
        <v>53</v>
      </c>
      <c r="B11" t="s">
        <v>1</v>
      </c>
      <c r="C11" t="s">
        <v>49</v>
      </c>
      <c r="D11" s="1" t="s">
        <v>54</v>
      </c>
    </row>
    <row r="12" spans="1:5" x14ac:dyDescent="0.3">
      <c r="A12" t="s">
        <v>55</v>
      </c>
      <c r="B12" t="s">
        <v>1</v>
      </c>
      <c r="C12" t="s">
        <v>56</v>
      </c>
      <c r="D12" s="1" t="s">
        <v>57</v>
      </c>
    </row>
    <row r="13" spans="1:5" x14ac:dyDescent="0.3">
      <c r="A13" t="s">
        <v>58</v>
      </c>
      <c r="B13" t="s">
        <v>1</v>
      </c>
      <c r="C13" s="5" t="s">
        <v>49</v>
      </c>
      <c r="D13" s="1" t="s">
        <v>59</v>
      </c>
    </row>
    <row r="14" spans="1:5" x14ac:dyDescent="0.3">
      <c r="A14" t="s">
        <v>60</v>
      </c>
      <c r="B14" t="s">
        <v>1</v>
      </c>
      <c r="C14" s="5" t="s">
        <v>49</v>
      </c>
      <c r="D14" s="1" t="s">
        <v>59</v>
      </c>
    </row>
    <row r="15" spans="1:5" x14ac:dyDescent="0.3">
      <c r="A15" t="s">
        <v>21</v>
      </c>
      <c r="B15" t="s">
        <v>1</v>
      </c>
      <c r="C15" s="5" t="s">
        <v>61</v>
      </c>
      <c r="E15" s="6"/>
    </row>
    <row r="16" spans="1:5" x14ac:dyDescent="0.3">
      <c r="A16" t="s">
        <v>62</v>
      </c>
      <c r="B16" t="s">
        <v>1</v>
      </c>
      <c r="C16" s="5" t="s">
        <v>61</v>
      </c>
    </row>
    <row r="17" spans="1:4" x14ac:dyDescent="0.3">
      <c r="A17" t="s">
        <v>63</v>
      </c>
      <c r="B17" t="s">
        <v>1</v>
      </c>
      <c r="C17" s="5" t="s">
        <v>61</v>
      </c>
    </row>
    <row r="18" spans="1:4" x14ac:dyDescent="0.3">
      <c r="A18" t="s">
        <v>64</v>
      </c>
      <c r="B18" t="s">
        <v>1</v>
      </c>
      <c r="C18" s="5" t="s">
        <v>49</v>
      </c>
      <c r="D18" s="1" t="s">
        <v>65</v>
      </c>
    </row>
    <row r="28" spans="1:4" ht="15.6" x14ac:dyDescent="0.3">
      <c r="B28" s="7"/>
    </row>
    <row r="29" spans="1:4" ht="15.6" x14ac:dyDescent="0.3">
      <c r="B29" s="8"/>
    </row>
    <row r="30" spans="1:4" ht="15.6" x14ac:dyDescent="0.3">
      <c r="B30" s="7"/>
    </row>
  </sheetData>
  <hyperlinks>
    <hyperlink ref="D13" r:id="rId1" display="ABS 8412.0" xr:uid="{192C942F-42CF-4506-AFF7-3BCB75DCCA49}"/>
    <hyperlink ref="D14" r:id="rId2" display="ABS 8412.0" xr:uid="{6160FCEC-6FD1-4279-B00A-A33170FCC67C}"/>
    <hyperlink ref="D11" r:id="rId3" display="ABS 5368.0" xr:uid="{2C6DF9C6-845D-4B87-B324-05F01F8FA853}"/>
    <hyperlink ref="D12" r:id="rId4" display="http://www.industry.gov.au/Office-of-the-Chief-Economist/Pages/default.aspx" xr:uid="{B6BC51DA-5237-415E-9E12-3386C6303FD1}"/>
    <hyperlink ref="D7" r:id="rId5" xr:uid="{9D772BFC-FBE5-4391-8BC2-E2341314DC13}"/>
    <hyperlink ref="D8" r:id="rId6" xr:uid="{5242B074-4087-436F-83B1-A7C335BDF209}"/>
    <hyperlink ref="D9" r:id="rId7" display="ABS 5625.0 - Private New Capital Expenditure and Expected Expenditure, Australia" xr:uid="{27239369-BFC8-430E-B43F-67786A19AD14}"/>
    <hyperlink ref="D10" r:id="rId8" display="ABS 5625.0 - Private New Capital Expenditure and Expected Expenditure, Australia" xr:uid="{0858FA4F-9389-4498-BF5B-76240F30BFE2}"/>
    <hyperlink ref="D18" r:id="rId9" xr:uid="{6E7B196E-0B35-4BBF-BD96-7D33638DD6E8}"/>
  </hyperlinks>
  <pageMargins left="0.7" right="0.7" top="0.75" bottom="0.75" header="0.3" footer="0.3"/>
  <pageSetup paperSize="9" orientation="portrait" r:id="rId10"/>
  <drawing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30BAA-F50C-4232-BE63-721ADE4F8659}">
  <sheetPr codeName="Sheet4"/>
  <dimension ref="A1:Y15"/>
  <sheetViews>
    <sheetView showGridLines="0" zoomScaleNormal="100" workbookViewId="0"/>
  </sheetViews>
  <sheetFormatPr defaultColWidth="9.109375" defaultRowHeight="14.4" x14ac:dyDescent="0.3"/>
  <cols>
    <col min="1" max="1" width="17.6640625" customWidth="1"/>
    <col min="2" max="2" width="44" customWidth="1"/>
    <col min="9" max="9" width="13.33203125" bestFit="1" customWidth="1"/>
    <col min="12" max="12" width="16" customWidth="1"/>
    <col min="25" max="25" width="9.109375" style="3"/>
  </cols>
  <sheetData>
    <row r="1" spans="1:25" x14ac:dyDescent="0.3">
      <c r="Y1" s="3" t="s">
        <v>66</v>
      </c>
    </row>
    <row r="2" spans="1:25" x14ac:dyDescent="0.3">
      <c r="Y2" s="3" t="s">
        <v>67</v>
      </c>
    </row>
    <row r="3" spans="1:25" x14ac:dyDescent="0.3">
      <c r="Y3" s="3" t="s">
        <v>68</v>
      </c>
    </row>
    <row r="4" spans="1:25" x14ac:dyDescent="0.3">
      <c r="Y4" s="3" t="s">
        <v>67</v>
      </c>
    </row>
    <row r="8" spans="1:25" ht="15" thickBot="1" x14ac:dyDescent="0.35"/>
    <row r="9" spans="1:25" ht="15" thickBot="1" x14ac:dyDescent="0.35">
      <c r="A9" s="4"/>
      <c r="H9" s="624" t="s">
        <v>69</v>
      </c>
      <c r="I9" s="625"/>
      <c r="J9" s="625"/>
      <c r="K9" s="625"/>
      <c r="L9" s="626"/>
    </row>
    <row r="10" spans="1:25" ht="15" thickBot="1" x14ac:dyDescent="0.35">
      <c r="H10" s="627" t="s">
        <v>67</v>
      </c>
      <c r="I10" s="628"/>
      <c r="J10" s="628"/>
      <c r="K10" s="628"/>
      <c r="L10" s="629"/>
    </row>
    <row r="11" spans="1:25" x14ac:dyDescent="0.3">
      <c r="H11" s="630" t="s">
        <v>70</v>
      </c>
      <c r="I11" s="630"/>
      <c r="J11" s="630"/>
      <c r="K11" s="630"/>
      <c r="L11" s="630"/>
    </row>
    <row r="12" spans="1:25" ht="15" thickBot="1" x14ac:dyDescent="0.35">
      <c r="A12" s="4"/>
    </row>
    <row r="13" spans="1:25" ht="15" thickBot="1" x14ac:dyDescent="0.35">
      <c r="H13" s="9" t="s">
        <v>71</v>
      </c>
      <c r="I13" s="631" t="s">
        <v>67</v>
      </c>
      <c r="J13" s="631"/>
      <c r="K13" s="631"/>
      <c r="L13" s="632"/>
    </row>
    <row r="15" spans="1:25" x14ac:dyDescent="0.3">
      <c r="H15" s="633" t="s">
        <v>67</v>
      </c>
      <c r="I15" s="634"/>
      <c r="J15" s="634"/>
      <c r="K15" s="634"/>
      <c r="L15" s="634"/>
    </row>
  </sheetData>
  <mergeCells count="5">
    <mergeCell ref="H9:L9"/>
    <mergeCell ref="H10:L10"/>
    <mergeCell ref="H11:L11"/>
    <mergeCell ref="I13:L13"/>
    <mergeCell ref="H15:L15"/>
  </mergeCells>
  <dataValidations count="2">
    <dataValidation type="list" allowBlank="1" showInputMessage="1" showErrorMessage="1" promptTitle="Selecta Display Factor:" prompt="Clicking here will bring up a message describing the selections you can make." sqref="H15:L15" xr:uid="{42E96A36-485B-480E-B1CC-21A258721FCF}">
      <formula1>$Y$3:$Y$4</formula1>
    </dataValidation>
    <dataValidation type="list" allowBlank="1" showInputMessage="1" showErrorMessage="1" promptTitle="Select a Display Factor:" prompt="Clicking here will bring up a message describing the selections you can make." sqref="H10:L10 I13:L13" xr:uid="{2FD3430C-9F36-47AA-8644-617CB8747EA9}">
      <formula1>$Y$1:$Y$2</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B47F1-B0A0-41C4-A584-8E0EA5304392}">
  <sheetPr codeName="Sheet5"/>
  <dimension ref="A6:AF184"/>
  <sheetViews>
    <sheetView showGridLines="0" topLeftCell="C1" zoomScale="85" zoomScaleNormal="85" workbookViewId="0">
      <selection activeCell="C1" sqref="C1"/>
    </sheetView>
  </sheetViews>
  <sheetFormatPr defaultColWidth="9.109375" defaultRowHeight="14.4" x14ac:dyDescent="0.3"/>
  <cols>
    <col min="1" max="2" width="0" hidden="1" customWidth="1"/>
    <col min="3" max="3" width="10.88671875" customWidth="1"/>
    <col min="4" max="4" width="17.33203125" bestFit="1" customWidth="1"/>
    <col min="5" max="5" width="16.33203125" customWidth="1"/>
    <col min="6" max="6" width="17.44140625" customWidth="1"/>
    <col min="7" max="7" width="15.5546875" customWidth="1"/>
    <col min="8" max="8" width="13.5546875" hidden="1" customWidth="1"/>
    <col min="9" max="9" width="17.109375" customWidth="1"/>
    <col min="10" max="10" width="3.44140625" customWidth="1"/>
    <col min="11" max="11" width="4" customWidth="1"/>
    <col min="12" max="12" width="16.6640625" customWidth="1"/>
    <col min="13" max="13" width="18.109375" customWidth="1"/>
    <col min="14" max="14" width="17.88671875" bestFit="1" customWidth="1"/>
    <col min="15" max="15" width="14.88671875" customWidth="1"/>
    <col min="16" max="16" width="17.33203125" bestFit="1" customWidth="1"/>
    <col min="17" max="17" width="17.33203125" hidden="1" customWidth="1"/>
    <col min="18" max="18" width="21.109375" customWidth="1"/>
  </cols>
  <sheetData>
    <row r="6" spans="1:32" ht="15" thickBot="1" x14ac:dyDescent="0.35">
      <c r="C6" s="635" t="s">
        <v>2</v>
      </c>
      <c r="D6" s="635"/>
      <c r="E6" s="635"/>
      <c r="F6" s="635"/>
      <c r="G6" s="635"/>
      <c r="H6" s="635"/>
      <c r="I6" s="635"/>
      <c r="L6" s="636" t="s">
        <v>72</v>
      </c>
      <c r="M6" s="636"/>
      <c r="N6" s="636"/>
      <c r="O6" s="636"/>
      <c r="P6" s="636"/>
      <c r="Q6" s="636"/>
      <c r="R6" s="636"/>
    </row>
    <row r="7" spans="1:32" ht="57.6" x14ac:dyDescent="0.3">
      <c r="C7" s="10" t="s">
        <v>73</v>
      </c>
      <c r="D7" s="11" t="s">
        <v>683</v>
      </c>
      <c r="E7" s="12" t="s">
        <v>686</v>
      </c>
      <c r="F7" s="12" t="s">
        <v>75</v>
      </c>
      <c r="G7" s="12" t="s">
        <v>98</v>
      </c>
      <c r="H7" s="12" t="s">
        <v>76</v>
      </c>
      <c r="I7" s="13" t="s">
        <v>77</v>
      </c>
      <c r="J7" s="14"/>
      <c r="K7" s="15"/>
      <c r="L7" s="16" t="s">
        <v>73</v>
      </c>
      <c r="M7" s="12" t="s">
        <v>680</v>
      </c>
      <c r="N7" s="12" t="s">
        <v>681</v>
      </c>
      <c r="O7" s="12" t="s">
        <v>682</v>
      </c>
      <c r="P7" s="12" t="s">
        <v>98</v>
      </c>
      <c r="Q7" s="12" t="s">
        <v>76</v>
      </c>
      <c r="R7" s="13" t="s">
        <v>77</v>
      </c>
      <c r="S7" s="15"/>
      <c r="T7" s="15"/>
      <c r="U7" s="15"/>
      <c r="V7" s="15"/>
      <c r="W7" s="15"/>
      <c r="X7" s="15"/>
      <c r="Y7" s="15"/>
      <c r="Z7" s="15"/>
      <c r="AA7" s="15"/>
      <c r="AB7" s="15"/>
      <c r="AC7" s="15"/>
      <c r="AD7" s="15"/>
      <c r="AE7" s="15"/>
      <c r="AF7" s="15"/>
    </row>
    <row r="8" spans="1:32" x14ac:dyDescent="0.3">
      <c r="A8">
        <v>1989</v>
      </c>
      <c r="B8">
        <v>1990</v>
      </c>
      <c r="C8" s="17" t="str">
        <f>A8&amp;"-"&amp;RIGHT(B8,2)</f>
        <v>1989-90</v>
      </c>
      <c r="D8" s="18">
        <v>5519</v>
      </c>
      <c r="E8" s="18">
        <f t="shared" ref="E8:E41" si="0">F8-D8</f>
        <v>12551</v>
      </c>
      <c r="F8" s="19">
        <v>18070</v>
      </c>
      <c r="G8" s="20">
        <f t="shared" ref="G8:G41" si="1">D8/F8</f>
        <v>0.30542335362479245</v>
      </c>
      <c r="H8" s="21">
        <v>39460</v>
      </c>
      <c r="I8" s="22">
        <f t="shared" ref="I8:I41" si="2">IFERROR(D8/H8,"N/A")</f>
        <v>0.13986315255955398</v>
      </c>
      <c r="J8" s="14"/>
      <c r="L8" s="23" t="str">
        <f t="shared" ref="L8:L15" si="3">LEFT(L9,4)-1&amp;"-"&amp;MID(L9,3,2)</f>
        <v>2013-14</v>
      </c>
      <c r="M8" s="24">
        <f>VLOOKUP($L8,$C:$I,2,FALSE)</f>
        <v>89765</v>
      </c>
      <c r="N8" s="24">
        <f>VLOOKUP($L8,$C:$I,3,FALSE)</f>
        <v>41898</v>
      </c>
      <c r="O8" s="24">
        <f>VLOOKUP($L8,$C:$I,4,FALSE)</f>
        <v>131663</v>
      </c>
      <c r="P8" s="25">
        <f>VLOOKUP($L8,$C:$I,5,FALSE)</f>
        <v>0.68177847990703544</v>
      </c>
      <c r="Q8" s="26">
        <f>VLOOKUP($L8,$C:$I,6,FALSE)</f>
        <v>268489</v>
      </c>
      <c r="R8" s="27">
        <f>VLOOKUP($L8,$C:$I,7,FALSE)</f>
        <v>0.33433399506125017</v>
      </c>
      <c r="V8" s="28"/>
      <c r="W8" s="28"/>
      <c r="X8" s="28"/>
      <c r="Y8" s="28"/>
    </row>
    <row r="9" spans="1:32" x14ac:dyDescent="0.3">
      <c r="A9">
        <f>A8+1</f>
        <v>1990</v>
      </c>
      <c r="B9">
        <f>B8+1</f>
        <v>1991</v>
      </c>
      <c r="C9" s="29" t="str">
        <f t="shared" ref="C9:C41" si="4">A9&amp;"-"&amp;RIGHT(B9,2)</f>
        <v>1990-91</v>
      </c>
      <c r="D9" s="30">
        <v>6988</v>
      </c>
      <c r="E9" s="30">
        <f t="shared" si="0"/>
        <v>12677</v>
      </c>
      <c r="F9" s="31">
        <v>19665</v>
      </c>
      <c r="G9" s="32">
        <f t="shared" si="1"/>
        <v>0.3553521484871599</v>
      </c>
      <c r="H9" s="33">
        <v>40339</v>
      </c>
      <c r="I9" s="34">
        <f t="shared" si="2"/>
        <v>0.17323185998661345</v>
      </c>
      <c r="J9" s="14"/>
      <c r="L9" s="35" t="str">
        <f t="shared" si="3"/>
        <v>2014-15</v>
      </c>
      <c r="M9" s="36">
        <f t="shared" ref="M9:M17" si="5">VLOOKUP($L9,$C:$I,2,FALSE)</f>
        <v>67719</v>
      </c>
      <c r="N9" s="37">
        <f t="shared" ref="N9:N17" si="6">VLOOKUP($L9,$C:$I,3,FALSE)</f>
        <v>38629</v>
      </c>
      <c r="O9" s="37">
        <f t="shared" ref="O9:O17" si="7">VLOOKUP($L9,$C:$I,4,FALSE)</f>
        <v>106348</v>
      </c>
      <c r="P9" s="38">
        <f t="shared" ref="P9:P17" si="8">VLOOKUP($L9,$C:$I,5,FALSE)</f>
        <v>0.63676796930830859</v>
      </c>
      <c r="Q9" s="39">
        <f t="shared" ref="Q9:Q17" si="9">VLOOKUP($L9,$C:$I,6,FALSE)</f>
        <v>249856</v>
      </c>
      <c r="R9" s="40">
        <f t="shared" ref="R9:R17" si="10">VLOOKUP($L9,$C:$I,7,FALSE)</f>
        <v>0.27103211449795084</v>
      </c>
      <c r="V9" s="28"/>
      <c r="W9" s="28"/>
      <c r="X9" s="28"/>
      <c r="Y9" s="28"/>
    </row>
    <row r="10" spans="1:32" x14ac:dyDescent="0.3">
      <c r="A10">
        <f t="shared" ref="A10:B25" si="11">A9+1</f>
        <v>1991</v>
      </c>
      <c r="B10">
        <f t="shared" si="11"/>
        <v>1992</v>
      </c>
      <c r="C10" s="29" t="str">
        <f t="shared" si="4"/>
        <v>1991-92</v>
      </c>
      <c r="D10" s="18">
        <v>7238</v>
      </c>
      <c r="E10" s="18">
        <f t="shared" si="0"/>
        <v>12338</v>
      </c>
      <c r="F10" s="19">
        <v>19576</v>
      </c>
      <c r="G10" s="20">
        <f t="shared" si="1"/>
        <v>0.36973845525132815</v>
      </c>
      <c r="H10" s="21">
        <v>41702</v>
      </c>
      <c r="I10" s="22">
        <f t="shared" si="2"/>
        <v>0.1735648170351542</v>
      </c>
      <c r="J10" s="14"/>
      <c r="L10" s="23" t="str">
        <f t="shared" si="3"/>
        <v>2015-16</v>
      </c>
      <c r="M10" s="41">
        <f t="shared" si="5"/>
        <v>57155</v>
      </c>
      <c r="N10" s="42">
        <f t="shared" si="6"/>
        <v>38061</v>
      </c>
      <c r="O10" s="42">
        <f t="shared" si="7"/>
        <v>95216</v>
      </c>
      <c r="P10" s="43">
        <f t="shared" si="8"/>
        <v>0.60026676188875816</v>
      </c>
      <c r="Q10" s="44">
        <f t="shared" si="9"/>
        <v>237240</v>
      </c>
      <c r="R10" s="27">
        <f t="shared" si="10"/>
        <v>0.24091637160681167</v>
      </c>
      <c r="V10" s="28"/>
      <c r="W10" s="28"/>
      <c r="X10" s="28"/>
      <c r="Y10" s="28"/>
    </row>
    <row r="11" spans="1:32" x14ac:dyDescent="0.3">
      <c r="A11">
        <f t="shared" si="11"/>
        <v>1992</v>
      </c>
      <c r="B11">
        <f t="shared" si="11"/>
        <v>1993</v>
      </c>
      <c r="C11" s="29" t="str">
        <f t="shared" si="4"/>
        <v>1992-93</v>
      </c>
      <c r="D11" s="30">
        <v>7167</v>
      </c>
      <c r="E11" s="30">
        <f t="shared" si="0"/>
        <v>13348</v>
      </c>
      <c r="F11" s="31">
        <v>20515</v>
      </c>
      <c r="G11" s="32">
        <f t="shared" si="1"/>
        <v>0.34935413112356811</v>
      </c>
      <c r="H11" s="33">
        <v>43798</v>
      </c>
      <c r="I11" s="34">
        <f t="shared" si="2"/>
        <v>0.16363760902324306</v>
      </c>
      <c r="J11" s="14"/>
      <c r="L11" s="35" t="str">
        <f t="shared" si="3"/>
        <v>2016-17</v>
      </c>
      <c r="M11" s="36">
        <f t="shared" si="5"/>
        <v>71964</v>
      </c>
      <c r="N11" s="37">
        <f t="shared" si="6"/>
        <v>59910</v>
      </c>
      <c r="O11" s="37">
        <f t="shared" si="7"/>
        <v>131874</v>
      </c>
      <c r="P11" s="38">
        <f t="shared" si="8"/>
        <v>0.5457027162291278</v>
      </c>
      <c r="Q11" s="39">
        <f t="shared" si="9"/>
        <v>248083</v>
      </c>
      <c r="R11" s="40">
        <f t="shared" si="10"/>
        <v>0.29008033601657512</v>
      </c>
      <c r="V11" s="28"/>
      <c r="W11" s="28"/>
      <c r="X11" s="28"/>
      <c r="Y11" s="28"/>
    </row>
    <row r="12" spans="1:32" x14ac:dyDescent="0.3">
      <c r="A12">
        <f t="shared" si="11"/>
        <v>1993</v>
      </c>
      <c r="B12">
        <f t="shared" si="11"/>
        <v>1994</v>
      </c>
      <c r="C12" s="29" t="str">
        <f t="shared" si="4"/>
        <v>1993-94</v>
      </c>
      <c r="D12" s="18">
        <v>7426</v>
      </c>
      <c r="E12" s="18">
        <f t="shared" si="0"/>
        <v>12594</v>
      </c>
      <c r="F12" s="19">
        <v>20020</v>
      </c>
      <c r="G12" s="20">
        <f t="shared" si="1"/>
        <v>0.3709290709290709</v>
      </c>
      <c r="H12" s="21">
        <v>47212</v>
      </c>
      <c r="I12" s="22">
        <f t="shared" si="2"/>
        <v>0.15729051935948488</v>
      </c>
      <c r="J12" s="14"/>
      <c r="L12" s="23" t="str">
        <f t="shared" si="3"/>
        <v>2017-18</v>
      </c>
      <c r="M12" s="41">
        <f t="shared" si="5"/>
        <v>77779</v>
      </c>
      <c r="N12" s="42">
        <f t="shared" si="6"/>
        <v>70836</v>
      </c>
      <c r="O12" s="42">
        <f t="shared" si="7"/>
        <v>148615</v>
      </c>
      <c r="P12" s="43">
        <f t="shared" si="8"/>
        <v>0.52335901490428283</v>
      </c>
      <c r="Q12" s="44">
        <f t="shared" si="9"/>
        <v>255476</v>
      </c>
      <c r="R12" s="27">
        <f t="shared" si="10"/>
        <v>0.30444738449012826</v>
      </c>
      <c r="V12" s="28"/>
      <c r="W12" s="28"/>
      <c r="X12" s="28"/>
      <c r="Y12" s="28"/>
    </row>
    <row r="13" spans="1:32" x14ac:dyDescent="0.3">
      <c r="A13">
        <f t="shared" si="11"/>
        <v>1994</v>
      </c>
      <c r="B13">
        <f t="shared" si="11"/>
        <v>1995</v>
      </c>
      <c r="C13" s="29" t="str">
        <f t="shared" si="4"/>
        <v>1994-95</v>
      </c>
      <c r="D13" s="30">
        <v>8778</v>
      </c>
      <c r="E13" s="30">
        <f t="shared" si="0"/>
        <v>12304</v>
      </c>
      <c r="F13" s="31">
        <v>21082</v>
      </c>
      <c r="G13" s="32">
        <f t="shared" si="1"/>
        <v>0.41637415804952094</v>
      </c>
      <c r="H13" s="33">
        <v>51194</v>
      </c>
      <c r="I13" s="34">
        <f t="shared" si="2"/>
        <v>0.17146540610227762</v>
      </c>
      <c r="J13" s="14"/>
      <c r="L13" s="35" t="str">
        <f t="shared" si="3"/>
        <v>2018-19</v>
      </c>
      <c r="M13" s="36">
        <f t="shared" si="5"/>
        <v>107227</v>
      </c>
      <c r="N13" s="37">
        <f t="shared" si="6"/>
        <v>82806</v>
      </c>
      <c r="O13" s="37">
        <f t="shared" si="7"/>
        <v>190033</v>
      </c>
      <c r="P13" s="38">
        <f t="shared" si="8"/>
        <v>0.56425462945909399</v>
      </c>
      <c r="Q13" s="39">
        <f t="shared" si="9"/>
        <v>286568</v>
      </c>
      <c r="R13" s="40">
        <f t="shared" si="10"/>
        <v>0.37417646073532285</v>
      </c>
      <c r="V13" s="28"/>
      <c r="W13" s="28"/>
      <c r="X13" s="28"/>
      <c r="Y13" s="28"/>
    </row>
    <row r="14" spans="1:32" x14ac:dyDescent="0.3">
      <c r="A14">
        <f t="shared" si="11"/>
        <v>1995</v>
      </c>
      <c r="B14">
        <f t="shared" si="11"/>
        <v>1996</v>
      </c>
      <c r="C14" s="29" t="str">
        <f t="shared" si="4"/>
        <v>1995-96</v>
      </c>
      <c r="D14" s="18">
        <v>10164</v>
      </c>
      <c r="E14" s="18">
        <f t="shared" si="0"/>
        <v>13702</v>
      </c>
      <c r="F14" s="19">
        <v>23866</v>
      </c>
      <c r="G14" s="20">
        <f t="shared" si="1"/>
        <v>0.42587781781614009</v>
      </c>
      <c r="H14" s="21">
        <v>55497</v>
      </c>
      <c r="I14" s="22">
        <f t="shared" si="2"/>
        <v>0.18314503486674955</v>
      </c>
      <c r="J14" s="14"/>
      <c r="L14" s="23" t="str">
        <f t="shared" si="3"/>
        <v>2019-20</v>
      </c>
      <c r="M14" s="41">
        <f t="shared" si="5"/>
        <v>130634</v>
      </c>
      <c r="N14" s="42">
        <f t="shared" si="6"/>
        <v>71235</v>
      </c>
      <c r="O14" s="42">
        <f t="shared" si="7"/>
        <v>201869</v>
      </c>
      <c r="P14" s="43">
        <f t="shared" si="8"/>
        <v>0.64712263893911393</v>
      </c>
      <c r="Q14" s="44">
        <f t="shared" si="9"/>
        <v>313107</v>
      </c>
      <c r="R14" s="27">
        <f t="shared" si="10"/>
        <v>0.41721839498957225</v>
      </c>
      <c r="V14" s="28"/>
      <c r="W14" s="28"/>
      <c r="X14" s="28"/>
      <c r="Y14" s="28"/>
    </row>
    <row r="15" spans="1:32" x14ac:dyDescent="0.3">
      <c r="A15">
        <f t="shared" si="11"/>
        <v>1996</v>
      </c>
      <c r="B15">
        <f t="shared" si="11"/>
        <v>1997</v>
      </c>
      <c r="C15" s="29" t="str">
        <f t="shared" si="4"/>
        <v>1996-97</v>
      </c>
      <c r="D15" s="30">
        <v>10036</v>
      </c>
      <c r="E15" s="30">
        <f t="shared" si="0"/>
        <v>13688</v>
      </c>
      <c r="F15" s="31">
        <v>23724</v>
      </c>
      <c r="G15" s="32">
        <f t="shared" si="1"/>
        <v>0.42303152925307708</v>
      </c>
      <c r="H15" s="33">
        <v>56932</v>
      </c>
      <c r="I15" s="34">
        <f t="shared" si="2"/>
        <v>0.17628047495257501</v>
      </c>
      <c r="J15" s="14"/>
      <c r="L15" s="35" t="str">
        <f t="shared" si="3"/>
        <v>2020-21</v>
      </c>
      <c r="M15" s="36">
        <f t="shared" si="5"/>
        <v>172106</v>
      </c>
      <c r="N15" s="37">
        <f t="shared" si="6"/>
        <v>50643</v>
      </c>
      <c r="O15" s="37">
        <f t="shared" si="7"/>
        <v>222749</v>
      </c>
      <c r="P15" s="38">
        <f t="shared" si="8"/>
        <v>0.77264544397505708</v>
      </c>
      <c r="Q15" s="39">
        <f t="shared" si="9"/>
        <v>366635</v>
      </c>
      <c r="R15" s="40">
        <f t="shared" si="10"/>
        <v>0.46942054086489288</v>
      </c>
      <c r="V15" s="28"/>
      <c r="W15" s="28"/>
      <c r="X15" s="28"/>
      <c r="Y15" s="28"/>
    </row>
    <row r="16" spans="1:32" x14ac:dyDescent="0.3">
      <c r="A16">
        <f t="shared" si="11"/>
        <v>1997</v>
      </c>
      <c r="B16">
        <f t="shared" si="11"/>
        <v>1998</v>
      </c>
      <c r="C16" s="29" t="str">
        <f t="shared" si="4"/>
        <v>1997-98</v>
      </c>
      <c r="D16" s="18">
        <v>10699</v>
      </c>
      <c r="E16" s="18">
        <f t="shared" si="0"/>
        <v>14618</v>
      </c>
      <c r="F16" s="19">
        <v>25317</v>
      </c>
      <c r="G16" s="20">
        <f t="shared" si="1"/>
        <v>0.4226014140695975</v>
      </c>
      <c r="H16" s="21">
        <v>61079</v>
      </c>
      <c r="I16" s="22">
        <f t="shared" si="2"/>
        <v>0.17516658753417705</v>
      </c>
      <c r="J16" s="14"/>
      <c r="L16" s="23" t="str">
        <f>LEFT(L17,4)-1&amp;"-"&amp;MID(L17,3,2)</f>
        <v>2021-22</v>
      </c>
      <c r="M16" s="41">
        <f t="shared" si="5"/>
        <v>185662</v>
      </c>
      <c r="N16" s="42">
        <f t="shared" si="6"/>
        <v>129212</v>
      </c>
      <c r="O16" s="42">
        <f t="shared" si="7"/>
        <v>314874</v>
      </c>
      <c r="P16" s="43">
        <f t="shared" si="8"/>
        <v>0.58963903021526076</v>
      </c>
      <c r="Q16" s="44">
        <f t="shared" si="9"/>
        <v>404762</v>
      </c>
      <c r="R16" s="27">
        <f t="shared" si="10"/>
        <v>0.45869424501311884</v>
      </c>
      <c r="V16" s="28"/>
      <c r="W16" s="28"/>
      <c r="X16" s="28"/>
      <c r="Y16" s="28"/>
    </row>
    <row r="17" spans="1:25" ht="15" thickBot="1" x14ac:dyDescent="0.35">
      <c r="A17">
        <f t="shared" si="11"/>
        <v>1998</v>
      </c>
      <c r="B17">
        <f t="shared" si="11"/>
        <v>1999</v>
      </c>
      <c r="C17" s="29" t="str">
        <f t="shared" si="4"/>
        <v>1998-99</v>
      </c>
      <c r="D17" s="30">
        <v>10317</v>
      </c>
      <c r="E17" s="30">
        <f t="shared" si="0"/>
        <v>14774</v>
      </c>
      <c r="F17" s="31">
        <v>25091</v>
      </c>
      <c r="G17" s="32">
        <f t="shared" si="1"/>
        <v>0.4111832928141565</v>
      </c>
      <c r="H17" s="33">
        <v>62399</v>
      </c>
      <c r="I17" s="34">
        <f t="shared" si="2"/>
        <v>0.16533918812801487</v>
      </c>
      <c r="J17" s="14"/>
      <c r="L17" s="45" t="str">
        <f>MAX(A:A)&amp;"-"&amp;RIGHT(MAX(B:B),2)</f>
        <v>2022-23</v>
      </c>
      <c r="M17" s="46">
        <f t="shared" si="5"/>
        <v>200022</v>
      </c>
      <c r="N17" s="47">
        <f t="shared" si="6"/>
        <v>141854</v>
      </c>
      <c r="O17" s="47">
        <f t="shared" si="7"/>
        <v>341876</v>
      </c>
      <c r="P17" s="48">
        <f t="shared" si="8"/>
        <v>0.58507178041161123</v>
      </c>
      <c r="Q17" s="49">
        <f t="shared" si="9"/>
        <v>445348</v>
      </c>
      <c r="R17" s="50">
        <f t="shared" si="10"/>
        <v>0.44913640568723784</v>
      </c>
      <c r="T17" s="28"/>
      <c r="V17" s="28"/>
      <c r="W17" s="28"/>
      <c r="X17" s="28"/>
      <c r="Y17" s="28"/>
    </row>
    <row r="18" spans="1:25" x14ac:dyDescent="0.3">
      <c r="A18">
        <f t="shared" si="11"/>
        <v>1999</v>
      </c>
      <c r="B18">
        <f t="shared" si="11"/>
        <v>2000</v>
      </c>
      <c r="C18" s="29" t="str">
        <f t="shared" si="4"/>
        <v>1999-00</v>
      </c>
      <c r="D18" s="18">
        <v>12901</v>
      </c>
      <c r="E18" s="18">
        <f t="shared" si="0"/>
        <v>14843</v>
      </c>
      <c r="F18" s="19">
        <v>27744</v>
      </c>
      <c r="G18" s="20">
        <f t="shared" si="1"/>
        <v>0.46500144175317187</v>
      </c>
      <c r="H18" s="21">
        <v>69270</v>
      </c>
      <c r="I18" s="22">
        <f t="shared" si="2"/>
        <v>0.18624224050815649</v>
      </c>
      <c r="J18" s="14"/>
      <c r="O18" s="51"/>
      <c r="P18" s="51"/>
    </row>
    <row r="19" spans="1:25" x14ac:dyDescent="0.3">
      <c r="A19">
        <f t="shared" si="11"/>
        <v>2000</v>
      </c>
      <c r="B19">
        <f t="shared" si="11"/>
        <v>2001</v>
      </c>
      <c r="C19" s="29" t="str">
        <f t="shared" si="4"/>
        <v>2000-01</v>
      </c>
      <c r="D19" s="30">
        <v>16721</v>
      </c>
      <c r="E19" s="30">
        <f t="shared" si="0"/>
        <v>18363</v>
      </c>
      <c r="F19" s="31">
        <v>35084</v>
      </c>
      <c r="G19" s="32">
        <f t="shared" si="1"/>
        <v>0.47659901949606659</v>
      </c>
      <c r="H19" s="33">
        <v>75734</v>
      </c>
      <c r="I19" s="34">
        <f t="shared" si="2"/>
        <v>0.22078590857474847</v>
      </c>
      <c r="J19" s="14"/>
    </row>
    <row r="20" spans="1:25" x14ac:dyDescent="0.3">
      <c r="A20">
        <f t="shared" si="11"/>
        <v>2001</v>
      </c>
      <c r="B20">
        <f t="shared" si="11"/>
        <v>2002</v>
      </c>
      <c r="C20" s="29" t="str">
        <f t="shared" si="4"/>
        <v>2001-02</v>
      </c>
      <c r="D20" s="18">
        <v>16599</v>
      </c>
      <c r="E20" s="18">
        <f t="shared" si="0"/>
        <v>19667</v>
      </c>
      <c r="F20" s="19">
        <v>36266</v>
      </c>
      <c r="G20" s="20">
        <f t="shared" si="1"/>
        <v>0.45770142833507971</v>
      </c>
      <c r="H20" s="21">
        <v>81757</v>
      </c>
      <c r="I20" s="22">
        <f t="shared" si="2"/>
        <v>0.20302848685739447</v>
      </c>
      <c r="J20" s="14"/>
    </row>
    <row r="21" spans="1:25" x14ac:dyDescent="0.3">
      <c r="A21">
        <f t="shared" si="11"/>
        <v>2002</v>
      </c>
      <c r="B21">
        <f t="shared" si="11"/>
        <v>2003</v>
      </c>
      <c r="C21" s="29" t="str">
        <f t="shared" si="4"/>
        <v>2002-03</v>
      </c>
      <c r="D21" s="30">
        <v>17382</v>
      </c>
      <c r="E21" s="30">
        <f t="shared" si="0"/>
        <v>18860</v>
      </c>
      <c r="F21" s="31">
        <v>36242</v>
      </c>
      <c r="G21" s="32">
        <f t="shared" si="1"/>
        <v>0.47960929308537059</v>
      </c>
      <c r="H21" s="33">
        <v>88286</v>
      </c>
      <c r="I21" s="34">
        <f t="shared" si="2"/>
        <v>0.19688285798427838</v>
      </c>
      <c r="J21" s="14"/>
    </row>
    <row r="22" spans="1:25" x14ac:dyDescent="0.3">
      <c r="A22">
        <f t="shared" si="11"/>
        <v>2003</v>
      </c>
      <c r="B22">
        <f t="shared" si="11"/>
        <v>2004</v>
      </c>
      <c r="C22" s="29" t="str">
        <f t="shared" si="4"/>
        <v>2003-04</v>
      </c>
      <c r="D22" s="18">
        <v>16477</v>
      </c>
      <c r="E22" s="18">
        <f t="shared" si="0"/>
        <v>17574</v>
      </c>
      <c r="F22" s="19">
        <v>34051</v>
      </c>
      <c r="G22" s="20">
        <f t="shared" si="1"/>
        <v>0.4838918093448063</v>
      </c>
      <c r="H22" s="21">
        <v>95820</v>
      </c>
      <c r="I22" s="22">
        <f t="shared" si="2"/>
        <v>0.17195783761218952</v>
      </c>
      <c r="J22" s="14"/>
    </row>
    <row r="23" spans="1:25" x14ac:dyDescent="0.3">
      <c r="A23">
        <f t="shared" si="11"/>
        <v>2004</v>
      </c>
      <c r="B23">
        <f t="shared" si="11"/>
        <v>2005</v>
      </c>
      <c r="C23" s="29" t="str">
        <f t="shared" si="4"/>
        <v>2004-05</v>
      </c>
      <c r="D23" s="30">
        <v>21622</v>
      </c>
      <c r="E23" s="30">
        <f t="shared" si="0"/>
        <v>24406</v>
      </c>
      <c r="F23" s="31">
        <v>46028</v>
      </c>
      <c r="G23" s="32">
        <f t="shared" si="1"/>
        <v>0.46975753888937166</v>
      </c>
      <c r="H23" s="33">
        <v>105961</v>
      </c>
      <c r="I23" s="34">
        <f t="shared" si="2"/>
        <v>0.20405620936004756</v>
      </c>
      <c r="J23" s="14"/>
    </row>
    <row r="24" spans="1:25" x14ac:dyDescent="0.3">
      <c r="A24">
        <f t="shared" si="11"/>
        <v>2005</v>
      </c>
      <c r="B24">
        <f t="shared" si="11"/>
        <v>2006</v>
      </c>
      <c r="C24" s="29" t="str">
        <f t="shared" si="4"/>
        <v>2005-06</v>
      </c>
      <c r="D24" s="18">
        <v>29102</v>
      </c>
      <c r="E24" s="18">
        <f t="shared" si="0"/>
        <v>36292</v>
      </c>
      <c r="F24" s="19">
        <v>65394</v>
      </c>
      <c r="G24" s="20">
        <f t="shared" si="1"/>
        <v>0.44502553751108664</v>
      </c>
      <c r="H24" s="21">
        <v>122746</v>
      </c>
      <c r="I24" s="22">
        <f t="shared" si="2"/>
        <v>0.2370912290420869</v>
      </c>
      <c r="J24" s="14"/>
    </row>
    <row r="25" spans="1:25" x14ac:dyDescent="0.3">
      <c r="A25">
        <f t="shared" si="11"/>
        <v>2006</v>
      </c>
      <c r="B25">
        <f t="shared" si="11"/>
        <v>2007</v>
      </c>
      <c r="C25" s="29" t="str">
        <f t="shared" si="4"/>
        <v>2006-07</v>
      </c>
      <c r="D25" s="30">
        <v>38223</v>
      </c>
      <c r="E25" s="30">
        <f t="shared" si="0"/>
        <v>38150</v>
      </c>
      <c r="F25" s="31">
        <v>76373</v>
      </c>
      <c r="G25" s="32">
        <f t="shared" si="1"/>
        <v>0.50047791758867666</v>
      </c>
      <c r="H25" s="33">
        <v>143249</v>
      </c>
      <c r="I25" s="34">
        <f t="shared" si="2"/>
        <v>0.26682908781213133</v>
      </c>
      <c r="J25" s="14"/>
    </row>
    <row r="26" spans="1:25" x14ac:dyDescent="0.3">
      <c r="A26">
        <f t="shared" ref="A26:B41" si="12">A25+1</f>
        <v>2007</v>
      </c>
      <c r="B26">
        <f t="shared" si="12"/>
        <v>2008</v>
      </c>
      <c r="C26" s="29" t="str">
        <f t="shared" si="4"/>
        <v>2007-08</v>
      </c>
      <c r="D26" s="18">
        <v>42399</v>
      </c>
      <c r="E26" s="18">
        <f t="shared" si="0"/>
        <v>40693</v>
      </c>
      <c r="F26" s="19">
        <v>83092</v>
      </c>
      <c r="G26" s="20">
        <f t="shared" si="1"/>
        <v>0.51026572955278482</v>
      </c>
      <c r="H26" s="21">
        <v>160759</v>
      </c>
      <c r="I26" s="22">
        <f t="shared" si="2"/>
        <v>0.26374262094190681</v>
      </c>
      <c r="J26" s="14"/>
    </row>
    <row r="27" spans="1:25" x14ac:dyDescent="0.3">
      <c r="A27">
        <f t="shared" si="12"/>
        <v>2008</v>
      </c>
      <c r="B27">
        <f t="shared" si="12"/>
        <v>2009</v>
      </c>
      <c r="C27" s="29" t="str">
        <f t="shared" si="4"/>
        <v>2008-09</v>
      </c>
      <c r="D27" s="30">
        <v>51080</v>
      </c>
      <c r="E27" s="30">
        <f t="shared" si="0"/>
        <v>63227</v>
      </c>
      <c r="F27" s="31">
        <v>114307</v>
      </c>
      <c r="G27" s="32">
        <f t="shared" si="1"/>
        <v>0.44686677106388933</v>
      </c>
      <c r="H27" s="33">
        <v>176171</v>
      </c>
      <c r="I27" s="34">
        <f t="shared" si="2"/>
        <v>0.28994556425291335</v>
      </c>
      <c r="J27" s="14"/>
    </row>
    <row r="28" spans="1:25" x14ac:dyDescent="0.3">
      <c r="A28">
        <f t="shared" si="12"/>
        <v>2009</v>
      </c>
      <c r="B28">
        <f t="shared" si="12"/>
        <v>2010</v>
      </c>
      <c r="C28" s="29" t="str">
        <f t="shared" si="4"/>
        <v>2009-10</v>
      </c>
      <c r="D28" s="18">
        <v>54076</v>
      </c>
      <c r="E28" s="18">
        <f t="shared" si="0"/>
        <v>40898</v>
      </c>
      <c r="F28" s="19">
        <v>94974</v>
      </c>
      <c r="G28" s="20">
        <f t="shared" si="1"/>
        <v>0.5693768820940468</v>
      </c>
      <c r="H28" s="21">
        <v>184886</v>
      </c>
      <c r="I28" s="22">
        <f t="shared" si="2"/>
        <v>0.29248293543048148</v>
      </c>
      <c r="J28" s="14"/>
    </row>
    <row r="29" spans="1:25" x14ac:dyDescent="0.3">
      <c r="A29">
        <f t="shared" si="12"/>
        <v>2010</v>
      </c>
      <c r="B29">
        <f t="shared" si="12"/>
        <v>2011</v>
      </c>
      <c r="C29" s="29" t="str">
        <f t="shared" si="4"/>
        <v>2010-11</v>
      </c>
      <c r="D29" s="30">
        <v>80928</v>
      </c>
      <c r="E29" s="30">
        <f t="shared" si="0"/>
        <v>49862</v>
      </c>
      <c r="F29" s="31">
        <v>130790</v>
      </c>
      <c r="G29" s="32">
        <f t="shared" si="1"/>
        <v>0.61876290236256593</v>
      </c>
      <c r="H29" s="33">
        <v>221785</v>
      </c>
      <c r="I29" s="34">
        <f t="shared" si="2"/>
        <v>0.36489392880492366</v>
      </c>
      <c r="J29" s="14"/>
    </row>
    <row r="30" spans="1:25" x14ac:dyDescent="0.3">
      <c r="A30">
        <f t="shared" si="12"/>
        <v>2011</v>
      </c>
      <c r="B30">
        <f t="shared" si="12"/>
        <v>2012</v>
      </c>
      <c r="C30" s="29" t="str">
        <f t="shared" si="4"/>
        <v>2011-12</v>
      </c>
      <c r="D30" s="18">
        <v>83272</v>
      </c>
      <c r="E30" s="18">
        <f t="shared" si="0"/>
        <v>49816</v>
      </c>
      <c r="F30" s="19">
        <v>133088</v>
      </c>
      <c r="G30" s="20">
        <f t="shared" si="1"/>
        <v>0.62569127194037033</v>
      </c>
      <c r="H30" s="21">
        <v>241526</v>
      </c>
      <c r="I30" s="22">
        <f t="shared" si="2"/>
        <v>0.34477447562581254</v>
      </c>
      <c r="J30" s="14"/>
    </row>
    <row r="31" spans="1:25" x14ac:dyDescent="0.3">
      <c r="A31">
        <f t="shared" si="12"/>
        <v>2012</v>
      </c>
      <c r="B31">
        <f t="shared" si="12"/>
        <v>2013</v>
      </c>
      <c r="C31" s="29" t="str">
        <f t="shared" si="4"/>
        <v>2012-13</v>
      </c>
      <c r="D31" s="30">
        <v>75211</v>
      </c>
      <c r="E31" s="30">
        <f t="shared" si="0"/>
        <v>40861</v>
      </c>
      <c r="F31" s="31">
        <v>116072</v>
      </c>
      <c r="G31" s="32">
        <f t="shared" si="1"/>
        <v>0.64796850230891168</v>
      </c>
      <c r="H31" s="33">
        <v>245872</v>
      </c>
      <c r="I31" s="34">
        <f t="shared" si="2"/>
        <v>0.30589493720309757</v>
      </c>
      <c r="J31" s="14"/>
    </row>
    <row r="32" spans="1:25" x14ac:dyDescent="0.3">
      <c r="A32">
        <f t="shared" si="12"/>
        <v>2013</v>
      </c>
      <c r="B32">
        <f t="shared" si="12"/>
        <v>2014</v>
      </c>
      <c r="C32" s="29" t="str">
        <f t="shared" si="4"/>
        <v>2013-14</v>
      </c>
      <c r="D32" s="18">
        <v>89765</v>
      </c>
      <c r="E32" s="18">
        <f t="shared" si="0"/>
        <v>41898</v>
      </c>
      <c r="F32" s="19">
        <v>131663</v>
      </c>
      <c r="G32" s="20">
        <f t="shared" si="1"/>
        <v>0.68177847990703544</v>
      </c>
      <c r="H32" s="21">
        <v>268489</v>
      </c>
      <c r="I32" s="22">
        <f t="shared" si="2"/>
        <v>0.33433399506125017</v>
      </c>
      <c r="J32" s="14"/>
    </row>
    <row r="33" spans="1:10" x14ac:dyDescent="0.3">
      <c r="A33">
        <f t="shared" si="12"/>
        <v>2014</v>
      </c>
      <c r="B33">
        <f t="shared" si="12"/>
        <v>2015</v>
      </c>
      <c r="C33" s="29" t="str">
        <f t="shared" si="4"/>
        <v>2014-15</v>
      </c>
      <c r="D33" s="30">
        <v>67719</v>
      </c>
      <c r="E33" s="30">
        <f t="shared" si="0"/>
        <v>38629</v>
      </c>
      <c r="F33" s="31">
        <v>106348</v>
      </c>
      <c r="G33" s="32">
        <f t="shared" si="1"/>
        <v>0.63676796930830859</v>
      </c>
      <c r="H33" s="33">
        <v>249856</v>
      </c>
      <c r="I33" s="34">
        <f t="shared" si="2"/>
        <v>0.27103211449795084</v>
      </c>
      <c r="J33" s="14"/>
    </row>
    <row r="34" spans="1:10" x14ac:dyDescent="0.3">
      <c r="A34">
        <f t="shared" si="12"/>
        <v>2015</v>
      </c>
      <c r="B34">
        <f t="shared" si="12"/>
        <v>2016</v>
      </c>
      <c r="C34" s="29" t="str">
        <f t="shared" si="4"/>
        <v>2015-16</v>
      </c>
      <c r="D34" s="18">
        <v>57155</v>
      </c>
      <c r="E34" s="18">
        <f t="shared" si="0"/>
        <v>38061</v>
      </c>
      <c r="F34" s="19">
        <v>95216</v>
      </c>
      <c r="G34" s="20">
        <f t="shared" si="1"/>
        <v>0.60026676188875816</v>
      </c>
      <c r="H34" s="21">
        <v>237240</v>
      </c>
      <c r="I34" s="22">
        <f t="shared" si="2"/>
        <v>0.24091637160681167</v>
      </c>
      <c r="J34" s="14"/>
    </row>
    <row r="35" spans="1:10" x14ac:dyDescent="0.3">
      <c r="A35">
        <f t="shared" si="12"/>
        <v>2016</v>
      </c>
      <c r="B35">
        <f t="shared" si="12"/>
        <v>2017</v>
      </c>
      <c r="C35" s="29" t="str">
        <f t="shared" si="4"/>
        <v>2016-17</v>
      </c>
      <c r="D35" s="30">
        <v>71964</v>
      </c>
      <c r="E35" s="30">
        <f t="shared" si="0"/>
        <v>59910</v>
      </c>
      <c r="F35" s="31">
        <v>131874</v>
      </c>
      <c r="G35" s="32">
        <f t="shared" si="1"/>
        <v>0.5457027162291278</v>
      </c>
      <c r="H35" s="33">
        <v>248083</v>
      </c>
      <c r="I35" s="34">
        <f t="shared" si="2"/>
        <v>0.29008033601657512</v>
      </c>
      <c r="J35" s="14"/>
    </row>
    <row r="36" spans="1:10" x14ac:dyDescent="0.3">
      <c r="A36">
        <f t="shared" si="12"/>
        <v>2017</v>
      </c>
      <c r="B36">
        <f t="shared" si="12"/>
        <v>2018</v>
      </c>
      <c r="C36" s="29" t="str">
        <f t="shared" si="4"/>
        <v>2017-18</v>
      </c>
      <c r="D36" s="18">
        <v>77779</v>
      </c>
      <c r="E36" s="18">
        <f t="shared" si="0"/>
        <v>70836</v>
      </c>
      <c r="F36" s="19">
        <v>148615</v>
      </c>
      <c r="G36" s="20">
        <f t="shared" si="1"/>
        <v>0.52335901490428283</v>
      </c>
      <c r="H36" s="21">
        <v>255476</v>
      </c>
      <c r="I36" s="22">
        <f t="shared" si="2"/>
        <v>0.30444738449012826</v>
      </c>
      <c r="J36" s="14"/>
    </row>
    <row r="37" spans="1:10" x14ac:dyDescent="0.3">
      <c r="A37">
        <f t="shared" si="12"/>
        <v>2018</v>
      </c>
      <c r="B37">
        <f t="shared" si="12"/>
        <v>2019</v>
      </c>
      <c r="C37" s="29" t="str">
        <f t="shared" si="4"/>
        <v>2018-19</v>
      </c>
      <c r="D37" s="30">
        <v>107227</v>
      </c>
      <c r="E37" s="30">
        <f t="shared" si="0"/>
        <v>82806</v>
      </c>
      <c r="F37" s="31">
        <v>190033</v>
      </c>
      <c r="G37" s="32">
        <f t="shared" si="1"/>
        <v>0.56425462945909399</v>
      </c>
      <c r="H37" s="33">
        <v>286568</v>
      </c>
      <c r="I37" s="34">
        <f t="shared" si="2"/>
        <v>0.37417646073532285</v>
      </c>
      <c r="J37" s="52"/>
    </row>
    <row r="38" spans="1:10" x14ac:dyDescent="0.3">
      <c r="A38">
        <f t="shared" si="12"/>
        <v>2019</v>
      </c>
      <c r="B38">
        <f t="shared" si="12"/>
        <v>2020</v>
      </c>
      <c r="C38" s="29" t="str">
        <f t="shared" si="4"/>
        <v>2019-20</v>
      </c>
      <c r="D38" s="18">
        <v>130634</v>
      </c>
      <c r="E38" s="18">
        <f t="shared" si="0"/>
        <v>71235</v>
      </c>
      <c r="F38" s="19">
        <v>201869</v>
      </c>
      <c r="G38" s="20">
        <f t="shared" si="1"/>
        <v>0.64712263893911393</v>
      </c>
      <c r="H38" s="21">
        <v>313107</v>
      </c>
      <c r="I38" s="22">
        <f t="shared" si="2"/>
        <v>0.41721839498957225</v>
      </c>
      <c r="J38" s="52"/>
    </row>
    <row r="39" spans="1:10" ht="15.75" customHeight="1" x14ac:dyDescent="0.3">
      <c r="A39">
        <f t="shared" si="12"/>
        <v>2020</v>
      </c>
      <c r="B39">
        <f t="shared" si="12"/>
        <v>2021</v>
      </c>
      <c r="C39" s="29" t="str">
        <f t="shared" si="4"/>
        <v>2020-21</v>
      </c>
      <c r="D39" s="30">
        <v>172106</v>
      </c>
      <c r="E39" s="30">
        <f t="shared" si="0"/>
        <v>50643</v>
      </c>
      <c r="F39" s="31">
        <v>222749</v>
      </c>
      <c r="G39" s="32">
        <f t="shared" si="1"/>
        <v>0.77264544397505708</v>
      </c>
      <c r="H39" s="33">
        <v>366635</v>
      </c>
      <c r="I39" s="34">
        <f t="shared" si="2"/>
        <v>0.46942054086489288</v>
      </c>
      <c r="J39" s="52"/>
    </row>
    <row r="40" spans="1:10" x14ac:dyDescent="0.3">
      <c r="A40">
        <f t="shared" si="12"/>
        <v>2021</v>
      </c>
      <c r="B40">
        <f t="shared" si="12"/>
        <v>2022</v>
      </c>
      <c r="C40" s="29" t="str">
        <f t="shared" si="4"/>
        <v>2021-22</v>
      </c>
      <c r="D40" s="18">
        <v>185662</v>
      </c>
      <c r="E40" s="18">
        <f t="shared" si="0"/>
        <v>129212</v>
      </c>
      <c r="F40" s="19">
        <v>314874</v>
      </c>
      <c r="G40" s="20">
        <f t="shared" si="1"/>
        <v>0.58963903021526076</v>
      </c>
      <c r="H40" s="21">
        <v>404762</v>
      </c>
      <c r="I40" s="22">
        <f t="shared" si="2"/>
        <v>0.45869424501311884</v>
      </c>
      <c r="J40" s="52"/>
    </row>
    <row r="41" spans="1:10" ht="15" thickBot="1" x14ac:dyDescent="0.35">
      <c r="A41">
        <f t="shared" si="12"/>
        <v>2022</v>
      </c>
      <c r="B41">
        <f t="shared" si="12"/>
        <v>2023</v>
      </c>
      <c r="C41" s="53" t="str">
        <f t="shared" si="4"/>
        <v>2022-23</v>
      </c>
      <c r="D41" s="54">
        <v>200022</v>
      </c>
      <c r="E41" s="54">
        <f t="shared" si="0"/>
        <v>141854</v>
      </c>
      <c r="F41" s="55">
        <v>341876</v>
      </c>
      <c r="G41" s="56">
        <f t="shared" si="1"/>
        <v>0.58507178041161123</v>
      </c>
      <c r="H41" s="57">
        <v>445348</v>
      </c>
      <c r="I41" s="58">
        <f t="shared" si="2"/>
        <v>0.44913640568723784</v>
      </c>
      <c r="J41" s="52"/>
    </row>
    <row r="42" spans="1:10" x14ac:dyDescent="0.3">
      <c r="C42" s="59"/>
      <c r="D42" s="19"/>
      <c r="E42" s="19"/>
      <c r="F42" s="19"/>
      <c r="G42" s="60"/>
      <c r="H42" s="60"/>
      <c r="I42" s="60"/>
      <c r="J42" s="52"/>
    </row>
    <row r="43" spans="1:10" x14ac:dyDescent="0.3">
      <c r="C43" s="59"/>
      <c r="D43" s="19"/>
      <c r="E43" s="19"/>
      <c r="F43" s="19"/>
      <c r="G43" s="60"/>
      <c r="H43" s="60"/>
      <c r="I43" s="60"/>
      <c r="J43" s="52"/>
    </row>
    <row r="44" spans="1:10" x14ac:dyDescent="0.3">
      <c r="C44" s="59"/>
      <c r="D44" s="19"/>
      <c r="E44" s="19"/>
      <c r="F44" s="19"/>
      <c r="G44" s="60"/>
      <c r="H44" s="60"/>
      <c r="I44" s="60"/>
      <c r="J44" s="52"/>
    </row>
    <row r="45" spans="1:10" x14ac:dyDescent="0.3">
      <c r="C45" s="59"/>
      <c r="D45" s="19"/>
      <c r="E45" s="19"/>
      <c r="F45" s="19"/>
      <c r="G45" s="60"/>
      <c r="H45" s="60"/>
      <c r="I45" s="60"/>
      <c r="J45" s="52"/>
    </row>
    <row r="46" spans="1:10" ht="15" customHeight="1" x14ac:dyDescent="0.3">
      <c r="C46" s="59"/>
      <c r="D46" s="19"/>
      <c r="E46" s="19"/>
      <c r="F46" s="19"/>
      <c r="G46" s="60"/>
      <c r="H46" s="60"/>
      <c r="I46" s="60"/>
      <c r="J46" s="52"/>
    </row>
    <row r="47" spans="1:10" x14ac:dyDescent="0.3">
      <c r="C47" s="59"/>
      <c r="D47" s="19"/>
      <c r="E47" s="19"/>
      <c r="F47" s="19"/>
      <c r="G47" s="60"/>
      <c r="H47" s="60"/>
      <c r="I47" s="60"/>
      <c r="J47" s="52"/>
    </row>
    <row r="48" spans="1:10" x14ac:dyDescent="0.3">
      <c r="C48" s="59"/>
      <c r="D48" s="19"/>
      <c r="E48" s="19"/>
      <c r="F48" s="19"/>
      <c r="G48" s="60"/>
      <c r="H48" s="60"/>
      <c r="I48" s="60"/>
      <c r="J48" s="52"/>
    </row>
    <row r="49" spans="3:10" x14ac:dyDescent="0.3">
      <c r="C49" s="59"/>
      <c r="D49" s="19"/>
      <c r="E49" s="19"/>
      <c r="F49" s="19"/>
      <c r="G49" s="60"/>
      <c r="H49" s="60"/>
      <c r="I49" s="60"/>
      <c r="J49" s="52"/>
    </row>
    <row r="50" spans="3:10" x14ac:dyDescent="0.3">
      <c r="C50" s="59"/>
      <c r="D50" s="19"/>
      <c r="E50" s="19"/>
      <c r="F50" s="19"/>
      <c r="G50" s="60"/>
      <c r="H50" s="60"/>
      <c r="I50" s="60"/>
      <c r="J50" s="52"/>
    </row>
    <row r="51" spans="3:10" x14ac:dyDescent="0.3">
      <c r="C51" s="59"/>
      <c r="D51" s="19"/>
      <c r="E51" s="19"/>
      <c r="F51" s="19"/>
      <c r="G51" s="60"/>
      <c r="H51" s="60"/>
      <c r="I51" s="60"/>
      <c r="J51" s="52"/>
    </row>
    <row r="52" spans="3:10" x14ac:dyDescent="0.3">
      <c r="C52" s="59"/>
      <c r="D52" s="19"/>
      <c r="E52" s="19"/>
      <c r="F52" s="19"/>
      <c r="G52" s="60"/>
      <c r="H52" s="60"/>
      <c r="I52" s="60"/>
      <c r="J52" s="52"/>
    </row>
    <row r="53" spans="3:10" x14ac:dyDescent="0.3">
      <c r="C53" s="59"/>
      <c r="D53" s="19"/>
      <c r="E53" s="19"/>
      <c r="F53" s="19"/>
      <c r="G53" s="60"/>
      <c r="H53" s="61"/>
      <c r="I53" s="60"/>
      <c r="J53" s="52"/>
    </row>
    <row r="54" spans="3:10" x14ac:dyDescent="0.3">
      <c r="C54" s="59"/>
      <c r="D54" s="19"/>
      <c r="E54" s="19"/>
      <c r="F54" s="19"/>
      <c r="G54" s="60"/>
      <c r="H54" s="61"/>
      <c r="I54" s="60"/>
      <c r="J54" s="52"/>
    </row>
    <row r="55" spans="3:10" x14ac:dyDescent="0.3">
      <c r="C55" s="59"/>
      <c r="D55" s="19"/>
      <c r="E55" s="19"/>
      <c r="F55" s="19"/>
      <c r="G55" s="60"/>
      <c r="H55" s="61"/>
      <c r="I55" s="60"/>
      <c r="J55" s="52"/>
    </row>
    <row r="56" spans="3:10" x14ac:dyDescent="0.3">
      <c r="C56" s="59"/>
      <c r="D56" s="19"/>
      <c r="E56" s="19"/>
      <c r="F56" s="19"/>
      <c r="G56" s="60"/>
      <c r="H56" s="61"/>
      <c r="I56" s="60"/>
      <c r="J56" s="52"/>
    </row>
    <row r="57" spans="3:10" x14ac:dyDescent="0.3">
      <c r="C57" s="59"/>
      <c r="D57" s="19"/>
      <c r="E57" s="19"/>
      <c r="F57" s="19"/>
      <c r="G57" s="60"/>
      <c r="H57" s="61"/>
      <c r="I57" s="60"/>
      <c r="J57" s="52"/>
    </row>
    <row r="58" spans="3:10" x14ac:dyDescent="0.3">
      <c r="C58" s="59"/>
      <c r="D58" s="19"/>
      <c r="E58" s="19"/>
      <c r="F58" s="19"/>
      <c r="G58" s="60"/>
      <c r="H58" s="61"/>
      <c r="I58" s="60"/>
      <c r="J58" s="52"/>
    </row>
    <row r="59" spans="3:10" x14ac:dyDescent="0.3">
      <c r="C59" s="59"/>
      <c r="D59" s="19"/>
      <c r="E59" s="19"/>
      <c r="F59" s="19"/>
      <c r="G59" s="60"/>
      <c r="H59" s="61"/>
      <c r="I59" s="60"/>
      <c r="J59" s="52"/>
    </row>
    <row r="60" spans="3:10" x14ac:dyDescent="0.3">
      <c r="C60" s="59"/>
      <c r="D60" s="19"/>
      <c r="E60" s="19"/>
      <c r="F60" s="19"/>
      <c r="G60" s="60"/>
      <c r="H60" s="61"/>
      <c r="I60" s="60"/>
      <c r="J60" s="52"/>
    </row>
    <row r="61" spans="3:10" x14ac:dyDescent="0.3">
      <c r="C61" s="59"/>
      <c r="D61" s="19"/>
      <c r="E61" s="19"/>
      <c r="F61" s="19"/>
      <c r="G61" s="60"/>
      <c r="H61" s="61"/>
      <c r="I61" s="60"/>
      <c r="J61" s="52"/>
    </row>
    <row r="62" spans="3:10" x14ac:dyDescent="0.3">
      <c r="C62" s="59"/>
      <c r="D62" s="19"/>
      <c r="E62" s="19"/>
      <c r="F62" s="19"/>
      <c r="G62" s="60"/>
      <c r="H62" s="61"/>
      <c r="I62" s="60"/>
      <c r="J62" s="52"/>
    </row>
    <row r="63" spans="3:10" x14ac:dyDescent="0.3">
      <c r="C63" s="59"/>
      <c r="D63" s="19"/>
      <c r="E63" s="19"/>
      <c r="F63" s="19"/>
      <c r="G63" s="60"/>
      <c r="H63" s="61"/>
      <c r="I63" s="60"/>
      <c r="J63" s="52"/>
    </row>
    <row r="64" spans="3:10" x14ac:dyDescent="0.3">
      <c r="C64" s="59"/>
      <c r="D64" s="19"/>
      <c r="E64" s="19"/>
      <c r="F64" s="19"/>
      <c r="G64" s="60"/>
      <c r="H64" s="61"/>
      <c r="I64" s="60"/>
      <c r="J64" s="52"/>
    </row>
    <row r="65" spans="3:10" x14ac:dyDescent="0.3">
      <c r="C65" s="59"/>
      <c r="D65" s="19"/>
      <c r="E65" s="19"/>
      <c r="F65" s="19"/>
      <c r="G65" s="60"/>
      <c r="H65" s="61"/>
      <c r="I65" s="60"/>
      <c r="J65" s="52"/>
    </row>
    <row r="66" spans="3:10" x14ac:dyDescent="0.3">
      <c r="C66" s="59"/>
      <c r="D66" s="19"/>
      <c r="E66" s="19"/>
      <c r="F66" s="19"/>
      <c r="G66" s="60"/>
      <c r="H66" s="61"/>
      <c r="I66" s="60"/>
      <c r="J66" s="52"/>
    </row>
    <row r="67" spans="3:10" x14ac:dyDescent="0.3">
      <c r="C67" s="59"/>
      <c r="D67" s="19"/>
      <c r="E67" s="19"/>
      <c r="F67" s="19"/>
      <c r="G67" s="60"/>
      <c r="H67" s="61"/>
      <c r="I67" s="60"/>
      <c r="J67" s="52"/>
    </row>
    <row r="68" spans="3:10" x14ac:dyDescent="0.3">
      <c r="C68" s="59"/>
      <c r="D68" s="19"/>
      <c r="E68" s="19"/>
      <c r="F68" s="19"/>
      <c r="G68" s="60"/>
      <c r="H68" s="61"/>
      <c r="I68" s="60"/>
      <c r="J68" s="52"/>
    </row>
    <row r="69" spans="3:10" x14ac:dyDescent="0.3">
      <c r="C69" s="59"/>
      <c r="D69" s="19"/>
      <c r="E69" s="19"/>
      <c r="F69" s="19"/>
      <c r="G69" s="60"/>
      <c r="H69" s="61"/>
      <c r="I69" s="60"/>
      <c r="J69" s="52"/>
    </row>
    <row r="70" spans="3:10" x14ac:dyDescent="0.3">
      <c r="C70" s="59"/>
      <c r="D70" s="19"/>
      <c r="E70" s="19"/>
      <c r="F70" s="19"/>
      <c r="G70" s="60"/>
      <c r="H70" s="61"/>
      <c r="I70" s="60"/>
      <c r="J70" s="52"/>
    </row>
    <row r="71" spans="3:10" x14ac:dyDescent="0.3">
      <c r="C71" s="59"/>
      <c r="D71" s="19"/>
      <c r="E71" s="19"/>
      <c r="F71" s="19"/>
      <c r="G71" s="60"/>
      <c r="H71" s="61"/>
      <c r="I71" s="60"/>
      <c r="J71" s="52"/>
    </row>
    <row r="72" spans="3:10" x14ac:dyDescent="0.3">
      <c r="C72" s="59"/>
      <c r="D72" s="19"/>
      <c r="E72" s="19"/>
      <c r="F72" s="19"/>
      <c r="G72" s="60"/>
      <c r="H72" s="61"/>
      <c r="I72" s="60"/>
      <c r="J72" s="52"/>
    </row>
    <row r="73" spans="3:10" x14ac:dyDescent="0.3">
      <c r="C73" s="59"/>
      <c r="D73" s="19"/>
      <c r="E73" s="19"/>
      <c r="F73" s="19"/>
      <c r="G73" s="60"/>
      <c r="H73" s="61"/>
      <c r="I73" s="60"/>
      <c r="J73" s="52"/>
    </row>
    <row r="74" spans="3:10" x14ac:dyDescent="0.3">
      <c r="C74" s="59"/>
      <c r="D74" s="19"/>
      <c r="E74" s="19"/>
      <c r="F74" s="19"/>
      <c r="G74" s="60"/>
      <c r="H74" s="61"/>
      <c r="I74" s="60"/>
      <c r="J74" s="52"/>
    </row>
    <row r="75" spans="3:10" x14ac:dyDescent="0.3">
      <c r="C75" s="59"/>
      <c r="D75" s="19"/>
      <c r="E75" s="19"/>
      <c r="F75" s="19"/>
      <c r="G75" s="60"/>
      <c r="H75" s="61"/>
      <c r="I75" s="60"/>
      <c r="J75" s="52"/>
    </row>
    <row r="76" spans="3:10" x14ac:dyDescent="0.3">
      <c r="C76" s="59"/>
      <c r="D76" s="19"/>
      <c r="E76" s="19"/>
      <c r="F76" s="19"/>
      <c r="G76" s="60"/>
      <c r="H76" s="61"/>
      <c r="I76" s="60"/>
      <c r="J76" s="52"/>
    </row>
    <row r="77" spans="3:10" x14ac:dyDescent="0.3">
      <c r="C77" s="59"/>
      <c r="D77" s="19"/>
      <c r="E77" s="19"/>
      <c r="F77" s="19"/>
      <c r="G77" s="60"/>
      <c r="H77" s="61"/>
      <c r="I77" s="60"/>
      <c r="J77" s="52"/>
    </row>
    <row r="78" spans="3:10" x14ac:dyDescent="0.3">
      <c r="C78" s="59"/>
      <c r="D78" s="19"/>
      <c r="E78" s="19"/>
      <c r="F78" s="19"/>
      <c r="G78" s="60"/>
      <c r="H78" s="61"/>
      <c r="I78" s="60"/>
      <c r="J78" s="52"/>
    </row>
    <row r="79" spans="3:10" x14ac:dyDescent="0.3">
      <c r="C79" s="59"/>
      <c r="D79" s="19"/>
      <c r="E79" s="19"/>
      <c r="F79" s="19"/>
      <c r="G79" s="60"/>
      <c r="H79" s="61"/>
      <c r="I79" s="60"/>
      <c r="J79" s="52"/>
    </row>
    <row r="80" spans="3:10" x14ac:dyDescent="0.3">
      <c r="C80" s="59"/>
      <c r="D80" s="19"/>
      <c r="E80" s="19"/>
      <c r="F80" s="19"/>
      <c r="G80" s="60"/>
      <c r="H80" s="61"/>
      <c r="I80" s="60"/>
      <c r="J80" s="52"/>
    </row>
    <row r="81" spans="3:10" x14ac:dyDescent="0.3">
      <c r="C81" s="59"/>
      <c r="D81" s="19"/>
      <c r="E81" s="19"/>
      <c r="F81" s="19"/>
      <c r="G81" s="60"/>
      <c r="H81" s="61"/>
      <c r="I81" s="60"/>
      <c r="J81" s="52"/>
    </row>
    <row r="82" spans="3:10" x14ac:dyDescent="0.3">
      <c r="C82" s="59"/>
      <c r="D82" s="19"/>
      <c r="E82" s="19"/>
      <c r="F82" s="19"/>
      <c r="G82" s="60"/>
      <c r="H82" s="61"/>
      <c r="I82" s="60"/>
      <c r="J82" s="52"/>
    </row>
    <row r="83" spans="3:10" x14ac:dyDescent="0.3">
      <c r="C83" s="59"/>
      <c r="D83" s="19"/>
      <c r="E83" s="19"/>
      <c r="F83" s="19"/>
      <c r="G83" s="60"/>
      <c r="H83" s="61"/>
      <c r="I83" s="60"/>
      <c r="J83" s="52"/>
    </row>
    <row r="84" spans="3:10" x14ac:dyDescent="0.3">
      <c r="C84" s="59"/>
      <c r="D84" s="19"/>
      <c r="E84" s="19"/>
      <c r="F84" s="19"/>
      <c r="G84" s="60"/>
      <c r="H84" s="61"/>
      <c r="I84" s="60"/>
      <c r="J84" s="52"/>
    </row>
    <row r="85" spans="3:10" x14ac:dyDescent="0.3">
      <c r="C85" s="59"/>
      <c r="D85" s="19"/>
      <c r="E85" s="19"/>
      <c r="F85" s="19"/>
      <c r="G85" s="60"/>
      <c r="H85" s="61"/>
      <c r="I85" s="60"/>
      <c r="J85" s="52"/>
    </row>
    <row r="86" spans="3:10" x14ac:dyDescent="0.3">
      <c r="C86" s="59"/>
      <c r="D86" s="19"/>
      <c r="E86" s="19"/>
      <c r="F86" s="19"/>
      <c r="G86" s="60"/>
      <c r="H86" s="61"/>
      <c r="I86" s="60"/>
      <c r="J86" s="52"/>
    </row>
    <row r="87" spans="3:10" x14ac:dyDescent="0.3">
      <c r="C87" s="59"/>
      <c r="D87" s="19"/>
      <c r="E87" s="19"/>
      <c r="F87" s="19"/>
      <c r="G87" s="60"/>
      <c r="H87" s="61"/>
      <c r="I87" s="60"/>
      <c r="J87" s="52"/>
    </row>
    <row r="88" spans="3:10" x14ac:dyDescent="0.3">
      <c r="C88" s="59"/>
      <c r="D88" s="19"/>
      <c r="E88" s="19"/>
      <c r="F88" s="19"/>
      <c r="G88" s="60"/>
      <c r="H88" s="61"/>
      <c r="I88" s="60"/>
      <c r="J88" s="52"/>
    </row>
    <row r="89" spans="3:10" x14ac:dyDescent="0.3">
      <c r="C89" s="59"/>
      <c r="D89" s="19"/>
      <c r="E89" s="19"/>
      <c r="F89" s="19"/>
      <c r="G89" s="60"/>
      <c r="H89" s="61"/>
      <c r="I89" s="60"/>
      <c r="J89" s="62"/>
    </row>
    <row r="90" spans="3:10" x14ac:dyDescent="0.3">
      <c r="C90" s="59"/>
      <c r="D90" s="19"/>
      <c r="E90" s="19"/>
      <c r="F90" s="19"/>
      <c r="G90" s="60"/>
      <c r="H90" s="61"/>
      <c r="I90" s="60"/>
      <c r="J90" s="52"/>
    </row>
    <row r="91" spans="3:10" x14ac:dyDescent="0.3">
      <c r="C91" s="59"/>
      <c r="D91" s="19"/>
      <c r="E91" s="19"/>
      <c r="F91" s="19"/>
      <c r="G91" s="60"/>
      <c r="H91" s="61"/>
      <c r="I91" s="60"/>
      <c r="J91" s="52"/>
    </row>
    <row r="92" spans="3:10" x14ac:dyDescent="0.3">
      <c r="C92" s="59"/>
      <c r="D92" s="19"/>
      <c r="E92" s="19"/>
      <c r="F92" s="19"/>
      <c r="G92" s="60"/>
      <c r="H92" s="61"/>
      <c r="I92" s="60"/>
      <c r="J92" s="52"/>
    </row>
    <row r="93" spans="3:10" x14ac:dyDescent="0.3">
      <c r="C93" s="59"/>
      <c r="D93" s="19"/>
      <c r="E93" s="19"/>
      <c r="F93" s="19"/>
      <c r="G93" s="60"/>
      <c r="H93" s="61"/>
      <c r="I93" s="60"/>
      <c r="J93" s="52"/>
    </row>
    <row r="94" spans="3:10" x14ac:dyDescent="0.3">
      <c r="C94" s="59"/>
      <c r="D94" s="19"/>
      <c r="E94" s="19"/>
      <c r="F94" s="19"/>
      <c r="G94" s="60"/>
      <c r="H94" s="61"/>
      <c r="I94" s="60"/>
      <c r="J94" s="52"/>
    </row>
    <row r="95" spans="3:10" x14ac:dyDescent="0.3">
      <c r="C95" s="59"/>
      <c r="D95" s="19"/>
      <c r="E95" s="19"/>
      <c r="F95" s="19"/>
      <c r="G95" s="60"/>
      <c r="H95" s="61"/>
      <c r="I95" s="60"/>
      <c r="J95" s="52"/>
    </row>
    <row r="96" spans="3:10" x14ac:dyDescent="0.3">
      <c r="C96" s="59"/>
      <c r="D96" s="19"/>
      <c r="E96" s="19"/>
      <c r="F96" s="19"/>
      <c r="G96" s="60"/>
      <c r="H96" s="61"/>
      <c r="I96" s="60"/>
      <c r="J96" s="52"/>
    </row>
    <row r="97" spans="3:10" x14ac:dyDescent="0.3">
      <c r="C97" s="59"/>
      <c r="D97" s="19"/>
      <c r="E97" s="19"/>
      <c r="F97" s="19"/>
      <c r="G97" s="60"/>
      <c r="H97" s="61"/>
      <c r="I97" s="60"/>
      <c r="J97" s="52"/>
    </row>
    <row r="98" spans="3:10" x14ac:dyDescent="0.3">
      <c r="C98" s="59"/>
      <c r="D98" s="19"/>
      <c r="E98" s="19"/>
      <c r="F98" s="19"/>
      <c r="G98" s="60"/>
      <c r="H98" s="61"/>
      <c r="I98" s="60"/>
      <c r="J98" s="52"/>
    </row>
    <row r="99" spans="3:10" x14ac:dyDescent="0.3">
      <c r="C99" s="59"/>
      <c r="D99" s="19"/>
      <c r="E99" s="19"/>
      <c r="F99" s="19"/>
      <c r="G99" s="60"/>
      <c r="H99" s="61"/>
      <c r="I99" s="60"/>
      <c r="J99" s="52"/>
    </row>
    <row r="100" spans="3:10" x14ac:dyDescent="0.3">
      <c r="C100" s="59"/>
      <c r="D100" s="19"/>
      <c r="E100" s="19"/>
      <c r="F100" s="19"/>
      <c r="G100" s="60"/>
      <c r="H100" s="61"/>
      <c r="I100" s="60"/>
      <c r="J100" s="52"/>
    </row>
    <row r="101" spans="3:10" x14ac:dyDescent="0.3">
      <c r="C101" s="59"/>
      <c r="D101" s="19"/>
      <c r="E101" s="19"/>
      <c r="F101" s="19"/>
      <c r="G101" s="60"/>
      <c r="H101" s="61"/>
      <c r="I101" s="60"/>
      <c r="J101" s="52"/>
    </row>
    <row r="102" spans="3:10" x14ac:dyDescent="0.3">
      <c r="C102" s="59"/>
      <c r="D102" s="19"/>
      <c r="E102" s="19"/>
      <c r="F102" s="19"/>
      <c r="G102" s="60"/>
      <c r="H102" s="61"/>
      <c r="I102" s="60"/>
      <c r="J102" s="52"/>
    </row>
    <row r="103" spans="3:10" x14ac:dyDescent="0.3">
      <c r="C103" s="59"/>
      <c r="D103" s="19"/>
      <c r="E103" s="19"/>
      <c r="F103" s="19"/>
      <c r="G103" s="60"/>
      <c r="H103" s="61"/>
      <c r="I103" s="60"/>
      <c r="J103" s="52"/>
    </row>
    <row r="104" spans="3:10" x14ac:dyDescent="0.3">
      <c r="C104" s="59"/>
      <c r="D104" s="19"/>
      <c r="E104" s="19"/>
      <c r="F104" s="19"/>
      <c r="G104" s="60"/>
      <c r="H104" s="61"/>
      <c r="I104" s="60"/>
      <c r="J104" s="52"/>
    </row>
    <row r="105" spans="3:10" x14ac:dyDescent="0.3">
      <c r="C105" s="59"/>
      <c r="D105" s="19"/>
      <c r="E105" s="19"/>
      <c r="F105" s="19"/>
      <c r="G105" s="60"/>
      <c r="H105" s="61"/>
      <c r="I105" s="60"/>
      <c r="J105" s="52"/>
    </row>
    <row r="106" spans="3:10" x14ac:dyDescent="0.3">
      <c r="C106" s="59"/>
      <c r="D106" s="19"/>
      <c r="E106" s="19"/>
      <c r="F106" s="19"/>
      <c r="G106" s="60"/>
      <c r="H106" s="61"/>
      <c r="I106" s="60"/>
      <c r="J106" s="52"/>
    </row>
    <row r="107" spans="3:10" x14ac:dyDescent="0.3">
      <c r="C107" s="59"/>
      <c r="D107" s="19"/>
      <c r="E107" s="19"/>
      <c r="F107" s="19"/>
      <c r="G107" s="60"/>
      <c r="H107" s="61"/>
      <c r="I107" s="60"/>
      <c r="J107" s="52"/>
    </row>
    <row r="108" spans="3:10" x14ac:dyDescent="0.3">
      <c r="C108" s="59"/>
      <c r="D108" s="19"/>
      <c r="E108" s="19"/>
      <c r="F108" s="19"/>
      <c r="G108" s="60"/>
      <c r="H108" s="61"/>
      <c r="I108" s="60"/>
      <c r="J108" s="52"/>
    </row>
    <row r="109" spans="3:10" x14ac:dyDescent="0.3">
      <c r="C109" s="59"/>
      <c r="D109" s="19"/>
      <c r="E109" s="19"/>
      <c r="F109" s="19"/>
      <c r="G109" s="60"/>
      <c r="H109" s="61"/>
      <c r="I109" s="60"/>
      <c r="J109" s="52"/>
    </row>
    <row r="110" spans="3:10" x14ac:dyDescent="0.3">
      <c r="C110" s="59"/>
      <c r="D110" s="19"/>
      <c r="E110" s="19"/>
      <c r="F110" s="19"/>
      <c r="G110" s="60"/>
      <c r="H110" s="61"/>
      <c r="I110" s="60"/>
      <c r="J110" s="52"/>
    </row>
    <row r="111" spans="3:10" x14ac:dyDescent="0.3">
      <c r="C111" s="59"/>
      <c r="D111" s="19"/>
      <c r="E111" s="19"/>
      <c r="F111" s="19"/>
      <c r="G111" s="60"/>
      <c r="H111" s="61"/>
      <c r="I111" s="60"/>
      <c r="J111" s="52"/>
    </row>
    <row r="112" spans="3:10" x14ac:dyDescent="0.3">
      <c r="C112" s="59"/>
      <c r="D112" s="19"/>
      <c r="E112" s="19"/>
      <c r="F112" s="19"/>
      <c r="G112" s="60"/>
      <c r="H112" s="61"/>
      <c r="I112" s="60"/>
      <c r="J112" s="52"/>
    </row>
    <row r="113" spans="3:10" x14ac:dyDescent="0.3">
      <c r="C113" s="59"/>
      <c r="D113" s="19"/>
      <c r="E113" s="19"/>
      <c r="F113" s="19"/>
      <c r="G113" s="60"/>
      <c r="H113" s="61"/>
      <c r="I113" s="60"/>
      <c r="J113" s="52"/>
    </row>
    <row r="114" spans="3:10" x14ac:dyDescent="0.3">
      <c r="C114" s="59"/>
      <c r="D114" s="19"/>
      <c r="E114" s="19"/>
      <c r="F114" s="19"/>
      <c r="G114" s="60"/>
      <c r="H114" s="61"/>
      <c r="I114" s="60"/>
      <c r="J114" s="52"/>
    </row>
    <row r="115" spans="3:10" x14ac:dyDescent="0.3">
      <c r="C115" s="59"/>
      <c r="D115" s="19"/>
      <c r="E115" s="19"/>
      <c r="F115" s="19"/>
      <c r="G115" s="60"/>
      <c r="H115" s="61"/>
      <c r="I115" s="60"/>
    </row>
    <row r="116" spans="3:10" x14ac:dyDescent="0.3">
      <c r="C116" s="59"/>
      <c r="D116" s="19"/>
      <c r="E116" s="19"/>
      <c r="F116" s="19"/>
      <c r="G116" s="60"/>
      <c r="H116" s="61"/>
      <c r="I116" s="60"/>
    </row>
    <row r="117" spans="3:10" x14ac:dyDescent="0.3">
      <c r="C117" s="59"/>
      <c r="D117" s="19"/>
      <c r="E117" s="19"/>
      <c r="F117" s="19"/>
      <c r="G117" s="60"/>
      <c r="H117" s="61"/>
      <c r="I117" s="60"/>
    </row>
    <row r="118" spans="3:10" x14ac:dyDescent="0.3">
      <c r="C118" s="59"/>
      <c r="D118" s="19"/>
      <c r="E118" s="19"/>
      <c r="F118" s="19"/>
      <c r="G118" s="60"/>
      <c r="H118" s="61"/>
      <c r="I118" s="60"/>
    </row>
    <row r="119" spans="3:10" x14ac:dyDescent="0.3">
      <c r="C119" s="59"/>
      <c r="D119" s="19"/>
      <c r="E119" s="19"/>
      <c r="F119" s="19"/>
      <c r="G119" s="60"/>
      <c r="H119" s="61"/>
      <c r="I119" s="60"/>
    </row>
    <row r="120" spans="3:10" x14ac:dyDescent="0.3">
      <c r="C120" s="59"/>
      <c r="D120" s="19"/>
      <c r="E120" s="19"/>
      <c r="F120" s="19"/>
      <c r="G120" s="60"/>
      <c r="H120" s="61"/>
      <c r="I120" s="60"/>
    </row>
    <row r="121" spans="3:10" x14ac:dyDescent="0.3">
      <c r="C121" s="59"/>
      <c r="D121" s="19"/>
      <c r="E121" s="19"/>
      <c r="F121" s="19"/>
      <c r="G121" s="60"/>
      <c r="H121" s="61"/>
      <c r="I121" s="60"/>
    </row>
    <row r="122" spans="3:10" x14ac:dyDescent="0.3">
      <c r="C122" s="59"/>
      <c r="D122" s="19"/>
      <c r="E122" s="19"/>
      <c r="F122" s="19"/>
      <c r="G122" s="60"/>
      <c r="H122" s="61"/>
      <c r="I122" s="60"/>
    </row>
    <row r="123" spans="3:10" x14ac:dyDescent="0.3">
      <c r="C123" s="59"/>
      <c r="D123" s="19"/>
      <c r="E123" s="19"/>
      <c r="F123" s="19"/>
      <c r="G123" s="60"/>
      <c r="H123" s="61"/>
      <c r="I123" s="60"/>
    </row>
    <row r="124" spans="3:10" x14ac:dyDescent="0.3">
      <c r="C124" s="59"/>
      <c r="D124" s="19"/>
      <c r="E124" s="19"/>
      <c r="F124" s="19"/>
      <c r="G124" s="60"/>
      <c r="H124" s="61"/>
      <c r="I124" s="60"/>
    </row>
    <row r="125" spans="3:10" x14ac:dyDescent="0.3">
      <c r="C125" s="59"/>
      <c r="D125" s="19"/>
      <c r="E125" s="19"/>
      <c r="F125" s="19"/>
      <c r="G125" s="60"/>
      <c r="H125" s="61"/>
      <c r="I125" s="60"/>
    </row>
    <row r="126" spans="3:10" x14ac:dyDescent="0.3">
      <c r="C126" s="59"/>
      <c r="D126" s="19"/>
      <c r="E126" s="19"/>
      <c r="F126" s="19"/>
      <c r="G126" s="60"/>
      <c r="H126" s="61"/>
      <c r="I126" s="60"/>
    </row>
    <row r="127" spans="3:10" x14ac:dyDescent="0.3">
      <c r="C127" s="59"/>
      <c r="D127" s="19"/>
      <c r="E127" s="19"/>
      <c r="F127" s="19"/>
      <c r="G127" s="60"/>
      <c r="H127" s="61"/>
      <c r="I127" s="60"/>
    </row>
    <row r="128" spans="3:10" x14ac:dyDescent="0.3">
      <c r="C128" s="59"/>
      <c r="D128" s="19"/>
      <c r="E128" s="19"/>
      <c r="F128" s="19"/>
      <c r="G128" s="60"/>
      <c r="H128" s="61"/>
      <c r="I128" s="60"/>
    </row>
    <row r="129" spans="3:9" x14ac:dyDescent="0.3">
      <c r="C129" s="59"/>
      <c r="D129" s="19"/>
      <c r="E129" s="19"/>
      <c r="F129" s="19"/>
      <c r="G129" s="60"/>
      <c r="H129" s="61"/>
      <c r="I129" s="60"/>
    </row>
    <row r="130" spans="3:9" x14ac:dyDescent="0.3">
      <c r="C130" s="59"/>
      <c r="D130" s="19"/>
      <c r="E130" s="19"/>
      <c r="F130" s="19"/>
      <c r="G130" s="60"/>
      <c r="H130" s="61"/>
      <c r="I130" s="60"/>
    </row>
    <row r="131" spans="3:9" x14ac:dyDescent="0.3">
      <c r="C131" s="59"/>
      <c r="D131" s="19"/>
      <c r="E131" s="19"/>
      <c r="F131" s="19"/>
      <c r="G131" s="60"/>
      <c r="H131" s="61"/>
      <c r="I131" s="60"/>
    </row>
    <row r="132" spans="3:9" x14ac:dyDescent="0.3">
      <c r="C132" s="59"/>
      <c r="D132" s="19"/>
      <c r="E132" s="19"/>
      <c r="F132" s="19"/>
      <c r="G132" s="60"/>
      <c r="H132" s="61"/>
      <c r="I132" s="60"/>
    </row>
    <row r="133" spans="3:9" x14ac:dyDescent="0.3">
      <c r="C133" s="59"/>
      <c r="D133" s="19"/>
      <c r="E133" s="19"/>
      <c r="F133" s="19"/>
      <c r="G133" s="60"/>
      <c r="H133" s="61"/>
      <c r="I133" s="60"/>
    </row>
    <row r="134" spans="3:9" x14ac:dyDescent="0.3">
      <c r="C134" s="59"/>
      <c r="D134" s="19"/>
      <c r="E134" s="19"/>
      <c r="F134" s="19"/>
      <c r="G134" s="60"/>
      <c r="H134" s="61"/>
      <c r="I134" s="60"/>
    </row>
    <row r="135" spans="3:9" x14ac:dyDescent="0.3">
      <c r="C135" s="59"/>
      <c r="D135" s="19"/>
      <c r="E135" s="19"/>
      <c r="F135" s="19"/>
      <c r="G135" s="60"/>
      <c r="H135" s="61"/>
      <c r="I135" s="60"/>
    </row>
    <row r="136" spans="3:9" x14ac:dyDescent="0.3">
      <c r="C136" s="59"/>
      <c r="D136" s="19"/>
      <c r="E136" s="19"/>
      <c r="F136" s="19"/>
      <c r="G136" s="60"/>
      <c r="H136" s="61"/>
      <c r="I136" s="60"/>
    </row>
    <row r="137" spans="3:9" x14ac:dyDescent="0.3">
      <c r="C137" s="59"/>
      <c r="D137" s="63"/>
      <c r="E137" s="63"/>
      <c r="F137" s="63"/>
      <c r="G137" s="64"/>
      <c r="H137" s="64"/>
      <c r="I137" s="64"/>
    </row>
    <row r="138" spans="3:9" ht="16.5" customHeight="1" x14ac:dyDescent="0.3">
      <c r="C138" s="59"/>
      <c r="D138" s="63"/>
      <c r="E138" s="63"/>
      <c r="F138" s="63"/>
      <c r="G138" s="64"/>
      <c r="H138" s="64"/>
      <c r="I138" s="64"/>
    </row>
    <row r="139" spans="3:9" x14ac:dyDescent="0.3">
      <c r="E139" s="65"/>
      <c r="F139" s="65"/>
    </row>
    <row r="140" spans="3:9" x14ac:dyDescent="0.3">
      <c r="E140" s="65"/>
      <c r="F140" s="65"/>
    </row>
    <row r="141" spans="3:9" x14ac:dyDescent="0.3">
      <c r="E141" s="65"/>
      <c r="F141" s="65"/>
    </row>
    <row r="142" spans="3:9" x14ac:dyDescent="0.3">
      <c r="E142" s="65"/>
      <c r="F142" s="65"/>
    </row>
    <row r="143" spans="3:9" x14ac:dyDescent="0.3">
      <c r="F143" s="65"/>
    </row>
    <row r="144" spans="3:9" x14ac:dyDescent="0.3">
      <c r="F144" s="65"/>
    </row>
    <row r="145" spans="6:6" x14ac:dyDescent="0.3">
      <c r="F145" s="65"/>
    </row>
    <row r="146" spans="6:6" x14ac:dyDescent="0.3">
      <c r="F146" s="65"/>
    </row>
    <row r="147" spans="6:6" x14ac:dyDescent="0.3">
      <c r="F147" s="65"/>
    </row>
    <row r="148" spans="6:6" x14ac:dyDescent="0.3">
      <c r="F148" s="65"/>
    </row>
    <row r="149" spans="6:6" x14ac:dyDescent="0.3">
      <c r="F149" s="65"/>
    </row>
    <row r="150" spans="6:6" x14ac:dyDescent="0.3">
      <c r="F150" s="65"/>
    </row>
    <row r="151" spans="6:6" x14ac:dyDescent="0.3">
      <c r="F151" s="65"/>
    </row>
    <row r="152" spans="6:6" x14ac:dyDescent="0.3">
      <c r="F152" s="65"/>
    </row>
    <row r="153" spans="6:6" x14ac:dyDescent="0.3">
      <c r="F153" s="65"/>
    </row>
    <row r="154" spans="6:6" x14ac:dyDescent="0.3">
      <c r="F154" s="65"/>
    </row>
    <row r="155" spans="6:6" x14ac:dyDescent="0.3">
      <c r="F155" s="65"/>
    </row>
    <row r="156" spans="6:6" x14ac:dyDescent="0.3">
      <c r="F156" s="65"/>
    </row>
    <row r="157" spans="6:6" x14ac:dyDescent="0.3">
      <c r="F157" s="65"/>
    </row>
    <row r="158" spans="6:6" x14ac:dyDescent="0.3">
      <c r="F158" s="65"/>
    </row>
    <row r="159" spans="6:6" x14ac:dyDescent="0.3">
      <c r="F159" s="65"/>
    </row>
    <row r="160" spans="6:6" x14ac:dyDescent="0.3">
      <c r="F160" s="65"/>
    </row>
    <row r="161" spans="6:6" x14ac:dyDescent="0.3">
      <c r="F161" s="65"/>
    </row>
    <row r="162" spans="6:6" x14ac:dyDescent="0.3">
      <c r="F162" s="65"/>
    </row>
    <row r="163" spans="6:6" x14ac:dyDescent="0.3">
      <c r="F163" s="65"/>
    </row>
    <row r="164" spans="6:6" x14ac:dyDescent="0.3">
      <c r="F164" s="65"/>
    </row>
    <row r="165" spans="6:6" x14ac:dyDescent="0.3">
      <c r="F165" s="65"/>
    </row>
    <row r="166" spans="6:6" x14ac:dyDescent="0.3">
      <c r="F166" s="65"/>
    </row>
    <row r="167" spans="6:6" x14ac:dyDescent="0.3">
      <c r="F167" s="65"/>
    </row>
    <row r="168" spans="6:6" x14ac:dyDescent="0.3">
      <c r="F168" s="65"/>
    </row>
    <row r="169" spans="6:6" x14ac:dyDescent="0.3">
      <c r="F169" s="65"/>
    </row>
    <row r="170" spans="6:6" x14ac:dyDescent="0.3">
      <c r="F170" s="65"/>
    </row>
    <row r="171" spans="6:6" x14ac:dyDescent="0.3">
      <c r="F171" s="65"/>
    </row>
    <row r="172" spans="6:6" x14ac:dyDescent="0.3">
      <c r="F172" s="65"/>
    </row>
    <row r="173" spans="6:6" x14ac:dyDescent="0.3">
      <c r="F173" s="65"/>
    </row>
    <row r="174" spans="6:6" x14ac:dyDescent="0.3">
      <c r="F174" s="65"/>
    </row>
    <row r="175" spans="6:6" x14ac:dyDescent="0.3">
      <c r="F175" s="65"/>
    </row>
    <row r="176" spans="6:6" x14ac:dyDescent="0.3">
      <c r="F176" s="65"/>
    </row>
    <row r="177" spans="6:6" x14ac:dyDescent="0.3">
      <c r="F177" s="65"/>
    </row>
    <row r="178" spans="6:6" x14ac:dyDescent="0.3">
      <c r="F178" s="65"/>
    </row>
    <row r="179" spans="6:6" x14ac:dyDescent="0.3">
      <c r="F179" s="65"/>
    </row>
    <row r="180" spans="6:6" x14ac:dyDescent="0.3">
      <c r="F180" s="65"/>
    </row>
    <row r="181" spans="6:6" x14ac:dyDescent="0.3">
      <c r="F181" s="65"/>
    </row>
    <row r="182" spans="6:6" x14ac:dyDescent="0.3">
      <c r="F182" s="65"/>
    </row>
    <row r="183" spans="6:6" x14ac:dyDescent="0.3">
      <c r="F183" s="65"/>
    </row>
    <row r="184" spans="6:6" x14ac:dyDescent="0.3">
      <c r="F184" s="65"/>
    </row>
  </sheetData>
  <mergeCells count="2">
    <mergeCell ref="C6:I6"/>
    <mergeCell ref="L6:R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94164-670C-4E62-96D8-39E2E72B37C0}">
  <sheetPr codeName="Sheet6"/>
  <dimension ref="A1:V245"/>
  <sheetViews>
    <sheetView showGridLines="0" zoomScale="85" zoomScaleNormal="85" workbookViewId="0"/>
  </sheetViews>
  <sheetFormatPr defaultColWidth="9.109375" defaultRowHeight="14.4" x14ac:dyDescent="0.3"/>
  <cols>
    <col min="1" max="1" width="54.109375" bestFit="1" customWidth="1"/>
    <col min="2" max="2" width="21.6640625" customWidth="1"/>
    <col min="3" max="3" width="21.88671875" customWidth="1"/>
    <col min="4" max="4" width="22.33203125" customWidth="1"/>
    <col min="5" max="5" width="18.44140625" bestFit="1" customWidth="1"/>
  </cols>
  <sheetData>
    <row r="1" spans="1:22" ht="15" thickBot="1" x14ac:dyDescent="0.35">
      <c r="D1" s="66" t="s">
        <v>71</v>
      </c>
      <c r="E1" s="67" t="s">
        <v>81</v>
      </c>
      <c r="U1" s="68" t="s">
        <v>81</v>
      </c>
      <c r="V1" s="68" t="s">
        <v>81</v>
      </c>
    </row>
    <row r="2" spans="1:22" x14ac:dyDescent="0.3">
      <c r="U2" s="68" t="s">
        <v>80</v>
      </c>
    </row>
    <row r="6" spans="1:22" ht="18.75" customHeight="1" thickBot="1" x14ac:dyDescent="0.35">
      <c r="A6" s="637" t="str">
        <f>CONCATENATE("Western Australia Mineral and Petroleum Exports ",B7," and ",C7)</f>
        <v>Western Australia Mineral and Petroleum Exports 2022-23 and 2023-24</v>
      </c>
      <c r="B6" s="637"/>
      <c r="C6" s="637"/>
      <c r="D6" s="637"/>
      <c r="E6" s="637"/>
    </row>
    <row r="7" spans="1:22" x14ac:dyDescent="0.3">
      <c r="A7" s="69"/>
      <c r="B7" s="70" t="str">
        <f>IF(E1="Calendar Year",LARGE('Exports Historic'!$26:$26, 2), "2022-23")</f>
        <v>2022-23</v>
      </c>
      <c r="C7" s="70" t="str">
        <f>IF(E1="Calendar Year",LARGE('Exports Historic'!$26:$26, 1), "2023-24")</f>
        <v>2023-24</v>
      </c>
      <c r="D7" s="638" t="str">
        <f>CONCATENATE(C7," Growth")</f>
        <v>2023-24 Growth</v>
      </c>
      <c r="E7" s="639"/>
      <c r="T7" s="68" t="str">
        <f>CONCATENATE("Western Australia Mineral and Petroleum Exports Growth "&amp;CHAR(10)&amp;B7&amp;" to "&amp;C7)</f>
        <v>Western Australia Mineral and Petroleum Exports Growth 
2022-23 to 2023-24</v>
      </c>
      <c r="U7" s="68" t="str">
        <f>CONCATENATE("Western Australia Mineral and Petroleum Exports "&amp;CHAR(10)&amp;C7)</f>
        <v>Western Australia Mineral and Petroleum Exports 
2023-24</v>
      </c>
    </row>
    <row r="8" spans="1:22" x14ac:dyDescent="0.3">
      <c r="A8" s="71" t="s">
        <v>82</v>
      </c>
      <c r="B8" s="72" t="s">
        <v>83</v>
      </c>
      <c r="C8" s="72" t="s">
        <v>83</v>
      </c>
      <c r="D8" s="73" t="s">
        <v>83</v>
      </c>
      <c r="E8" s="74" t="s">
        <v>84</v>
      </c>
    </row>
    <row r="9" spans="1:22" x14ac:dyDescent="0.3">
      <c r="A9" s="75" t="s">
        <v>85</v>
      </c>
      <c r="B9" s="76" cm="1">
        <f t="array" ref="B9">IF($E$1="Financial Year",
_xlfn.XLOOKUP(B$7, 'Exports Historic'!$8:$8, _xlfn.XLOOKUP($A9, 'Exports Historic'!$A$10:$A$23, 'Exports Historic'!$10:$23)),
_xlfn.XLOOKUP(B$7, 'Exports Historic'!$26:$26, _xlfn.XLOOKUP($A9, 'Exports Historic'!$A$28:$A$41, 'Exports Historic'!$28:$41))
)</f>
        <v>7661685868.5000029</v>
      </c>
      <c r="C9" s="76" cm="1">
        <f t="array" ref="C9">IF($E$1="Financial Year",
_xlfn.XLOOKUP(C$7, 'Exports Historic'!$8:$8, _xlfn.XLOOKUP($A9, 'Exports Historic'!$A$10:$A$23, 'Exports Historic'!$10:$23)),
_xlfn.XLOOKUP(C$7, 'Exports Historic'!$26:$26, _xlfn.XLOOKUP($A9, 'Exports Historic'!$A$28:$A$41, 'Exports Historic'!$28:$41))
)</f>
        <v>6407371000</v>
      </c>
      <c r="D9" s="77">
        <f>IFERROR(C9-B9,"n/a")</f>
        <v>-1254314868.5000029</v>
      </c>
      <c r="E9" s="78">
        <f t="shared" ref="E9:E17" si="0">IFERROR(D9/B9,"n/a")</f>
        <v>-0.16371264628023327</v>
      </c>
      <c r="F9" s="79"/>
      <c r="J9" t="str">
        <f>"Mineral and Petroleum Exports"&amp;CHAR(10)&amp;C7</f>
        <v>Mineral and Petroleum Exports
2023-24</v>
      </c>
    </row>
    <row r="10" spans="1:22" x14ac:dyDescent="0.3">
      <c r="A10" s="75" t="s">
        <v>86</v>
      </c>
      <c r="B10" s="80" t="str" cm="1">
        <f t="array" ref="B10">IF($E$1="Financial Year",
_xlfn.XLOOKUP(B$7, 'Exports Historic'!$8:$8, _xlfn.XLOOKUP($A10, 'Exports Historic'!$A$10:$A$23, 'Exports Historic'!$10:$23)),
_xlfn.XLOOKUP(B$7, 'Exports Historic'!$26:$26, _xlfn.XLOOKUP($A10, 'Exports Historic'!$A$28:$A$41, 'Exports Historic'!$28:$41))
)</f>
        <v>n/a</v>
      </c>
      <c r="C10" s="80" t="str" cm="1">
        <f t="array" ref="C10">IF($E$1="Financial Year",
_xlfn.XLOOKUP(C$7, 'Exports Historic'!$8:$8, _xlfn.XLOOKUP($A10, 'Exports Historic'!$A$10:$A$23, 'Exports Historic'!$10:$23)),
_xlfn.XLOOKUP(C$7, 'Exports Historic'!$26:$26, _xlfn.XLOOKUP($A10, 'Exports Historic'!$A$28:$A$41, 'Exports Historic'!$28:$41))
)</f>
        <v>n/a</v>
      </c>
      <c r="D10" s="81" t="str">
        <f t="shared" ref="D10:D17" si="1">IFERROR(C10-B10,"n/a")</f>
        <v>n/a</v>
      </c>
      <c r="E10" s="82" t="str">
        <f t="shared" si="0"/>
        <v>n/a</v>
      </c>
      <c r="F10" s="79"/>
    </row>
    <row r="11" spans="1:22" x14ac:dyDescent="0.3">
      <c r="A11" s="75" t="s">
        <v>87</v>
      </c>
      <c r="B11" s="76" cm="1">
        <f t="array" ref="B11">IF($E$1="Financial Year",
_xlfn.XLOOKUP(B$7, 'Exports Historic'!$8:$8, _xlfn.XLOOKUP($A11, 'Exports Historic'!$A$10:$A$23, 'Exports Historic'!$10:$23)),
_xlfn.XLOOKUP(B$7, 'Exports Historic'!$26:$26, _xlfn.XLOOKUP($A11, 'Exports Historic'!$A$28:$A$41, 'Exports Historic'!$28:$41))
)</f>
        <v>20004416000</v>
      </c>
      <c r="C11" s="76" cm="1">
        <f t="array" ref="C11">IF($E$1="Financial Year",
_xlfn.XLOOKUP(C$7, 'Exports Historic'!$8:$8, _xlfn.XLOOKUP($A11, 'Exports Historic'!$A$10:$A$23, 'Exports Historic'!$10:$23)),
_xlfn.XLOOKUP(C$7, 'Exports Historic'!$26:$26, _xlfn.XLOOKUP($A11, 'Exports Historic'!$A$28:$A$41, 'Exports Historic'!$28:$41))
)</f>
        <v>24930123000</v>
      </c>
      <c r="D11" s="77">
        <f t="shared" si="1"/>
        <v>4925707000</v>
      </c>
      <c r="E11" s="78">
        <f t="shared" si="0"/>
        <v>0.24623098219913042</v>
      </c>
      <c r="F11" s="79"/>
    </row>
    <row r="12" spans="1:22" x14ac:dyDescent="0.3">
      <c r="A12" s="83" t="s">
        <v>88</v>
      </c>
      <c r="B12" s="80" cm="1">
        <f t="array" ref="B12">IF($E$1="Financial Year",
_xlfn.XLOOKUP(B$7, 'Exports Historic'!$8:$8, _xlfn.XLOOKUP($A12, 'Exports Historic'!$A$10:$A$23, 'Exports Historic'!$10:$23)),
_xlfn.XLOOKUP(B$7, 'Exports Historic'!$26:$26, _xlfn.XLOOKUP($A12, 'Exports Historic'!$A$28:$A$41, 'Exports Historic'!$28:$41))
)</f>
        <v>122529044000</v>
      </c>
      <c r="C12" s="80" cm="1">
        <f t="array" ref="C12">IF($E$1="Financial Year",
_xlfn.XLOOKUP(C$7, 'Exports Historic'!$8:$8, _xlfn.XLOOKUP($A12, 'Exports Historic'!$A$10:$A$23, 'Exports Historic'!$10:$23)),
_xlfn.XLOOKUP(C$7, 'Exports Historic'!$26:$26, _xlfn.XLOOKUP($A12, 'Exports Historic'!$A$28:$A$41, 'Exports Historic'!$28:$41))
)</f>
        <v>136139123000</v>
      </c>
      <c r="D12" s="81">
        <f t="shared" si="1"/>
        <v>13610079000</v>
      </c>
      <c r="E12" s="82">
        <f t="shared" si="0"/>
        <v>0.11107635019171455</v>
      </c>
      <c r="F12" s="79"/>
    </row>
    <row r="13" spans="1:22" x14ac:dyDescent="0.3">
      <c r="A13" s="83" t="s">
        <v>89</v>
      </c>
      <c r="B13" s="76" cm="1">
        <f t="array" ref="B13">IF($E$1="Financial Year",
_xlfn.XLOOKUP(B$7, 'Exports Historic'!$8:$8, _xlfn.XLOOKUP($A13, 'Exports Historic'!$A$10:$A$23, 'Exports Historic'!$10:$23)),
_xlfn.XLOOKUP(B$7, 'Exports Historic'!$26:$26, _xlfn.XLOOKUP($A13, 'Exports Historic'!$A$28:$A$41, 'Exports Historic'!$28:$41))
)</f>
        <v>20042373602</v>
      </c>
      <c r="C13" s="76" cm="1">
        <f t="array" ref="C13">IF($E$1="Financial Year",
_xlfn.XLOOKUP(C$7, 'Exports Historic'!$8:$8, _xlfn.XLOOKUP($A13, 'Exports Historic'!$A$10:$A$23, 'Exports Historic'!$10:$23)),
_xlfn.XLOOKUP(C$7, 'Exports Historic'!$26:$26, _xlfn.XLOOKUP($A13, 'Exports Historic'!$A$28:$A$41, 'Exports Historic'!$28:$41))
)</f>
        <v>9253970184</v>
      </c>
      <c r="D13" s="77">
        <f t="shared" si="1"/>
        <v>-10788403418</v>
      </c>
      <c r="E13" s="78">
        <f t="shared" si="0"/>
        <v>-0.53827972835130866</v>
      </c>
      <c r="F13" s="79"/>
    </row>
    <row r="14" spans="1:22" x14ac:dyDescent="0.3">
      <c r="A14" s="75" t="s">
        <v>90</v>
      </c>
      <c r="B14" s="80" cm="1">
        <f t="array" ref="B14">IF($E$1="Financial Year",
_xlfn.XLOOKUP(B$7, 'Exports Historic'!$8:$8, _xlfn.XLOOKUP($A14, 'Exports Historic'!$A$10:$A$23, 'Exports Historic'!$10:$23)),
_xlfn.XLOOKUP(B$7, 'Exports Historic'!$26:$26, _xlfn.XLOOKUP($A14, 'Exports Historic'!$A$28:$A$41, 'Exports Historic'!$28:$41))
)</f>
        <v>2218669454.6199994</v>
      </c>
      <c r="C14" s="80" t="str" cm="1">
        <f t="array" ref="C14">IF($E$1="Financial Year",
_xlfn.XLOOKUP(C$7, 'Exports Historic'!$8:$8, _xlfn.XLOOKUP($A14, 'Exports Historic'!$A$10:$A$23, 'Exports Historic'!$10:$23)),
_xlfn.XLOOKUP(C$7, 'Exports Historic'!$26:$26, _xlfn.XLOOKUP($A14, 'Exports Historic'!$A$28:$A$41, 'Exports Historic'!$28:$41))
)</f>
        <v>n/a</v>
      </c>
      <c r="D14" s="81" t="str">
        <f t="shared" si="1"/>
        <v>n/a</v>
      </c>
      <c r="E14" s="82" t="str">
        <f t="shared" si="0"/>
        <v>n/a</v>
      </c>
      <c r="F14" s="79"/>
      <c r="M14" s="68" t="str">
        <f>CONCATENATE("Royalty Receipts and North West Shelf Grants ",C7)</f>
        <v>Royalty Receipts and North West Shelf Grants 2023-24</v>
      </c>
    </row>
    <row r="15" spans="1:22" x14ac:dyDescent="0.3">
      <c r="A15" s="75" t="s">
        <v>91</v>
      </c>
      <c r="B15" s="76" t="str" cm="1">
        <f t="array" ref="B15">IF($E$1="Financial Year",
_xlfn.XLOOKUP(B$7, 'Exports Historic'!$8:$8, _xlfn.XLOOKUP($A15, 'Exports Historic'!$A$10:$A$23, 'Exports Historic'!$10:$23)),
_xlfn.XLOOKUP(B$7, 'Exports Historic'!$26:$26, _xlfn.XLOOKUP($A15, 'Exports Historic'!$A$28:$A$41, 'Exports Historic'!$28:$41))
)</f>
        <v>n/a</v>
      </c>
      <c r="C15" s="76" t="str" cm="1">
        <f t="array" ref="C15">IF($E$1="Financial Year",
_xlfn.XLOOKUP(C$7, 'Exports Historic'!$8:$8, _xlfn.XLOOKUP($A15, 'Exports Historic'!$A$10:$A$23, 'Exports Historic'!$10:$23)),
_xlfn.XLOOKUP(C$7, 'Exports Historic'!$26:$26, _xlfn.XLOOKUP($A15, 'Exports Historic'!$A$28:$A$41, 'Exports Historic'!$28:$41))
)</f>
        <v>n/a</v>
      </c>
      <c r="D15" s="77" t="str">
        <f t="shared" si="1"/>
        <v>n/a</v>
      </c>
      <c r="E15" s="78" t="str">
        <f t="shared" si="0"/>
        <v>n/a</v>
      </c>
      <c r="F15" s="84"/>
      <c r="G15" s="85"/>
    </row>
    <row r="16" spans="1:22" x14ac:dyDescent="0.3">
      <c r="A16" s="75" t="s">
        <v>92</v>
      </c>
      <c r="B16" s="80" t="str" cm="1">
        <f t="array" ref="B16">IF($E$1="Financial Year",
_xlfn.XLOOKUP(B$7, 'Exports Historic'!$8:$8, _xlfn.XLOOKUP($A16, 'Exports Historic'!$A$10:$A$23, 'Exports Historic'!$10:$23)),
_xlfn.XLOOKUP(B$7, 'Exports Historic'!$26:$26, _xlfn.XLOOKUP($A16, 'Exports Historic'!$A$28:$A$41, 'Exports Historic'!$28:$41))
)</f>
        <v>n/a</v>
      </c>
      <c r="C16" s="80" t="str" cm="1">
        <f t="array" ref="C16">IF($E$1="Financial Year",
_xlfn.XLOOKUP(C$7, 'Exports Historic'!$8:$8, _xlfn.XLOOKUP($A16, 'Exports Historic'!$A$10:$A$23, 'Exports Historic'!$10:$23)),
_xlfn.XLOOKUP(C$7, 'Exports Historic'!$26:$26, _xlfn.XLOOKUP($A16, 'Exports Historic'!$A$28:$A$41, 'Exports Historic'!$28:$41))
)</f>
        <v>n/a</v>
      </c>
      <c r="D16" s="81" t="str">
        <f t="shared" si="1"/>
        <v>n/a</v>
      </c>
      <c r="E16" s="82" t="str">
        <f t="shared" si="0"/>
        <v>n/a</v>
      </c>
      <c r="F16" s="86"/>
      <c r="G16" s="87"/>
    </row>
    <row r="17" spans="1:6" x14ac:dyDescent="0.3">
      <c r="A17" s="75" t="s">
        <v>93</v>
      </c>
      <c r="B17" s="76" cm="1">
        <f t="array" ref="B17">IF($E$1="Financial Year",
_xlfn.XLOOKUP(B$7, 'Exports Historic'!$8:$8, _xlfn.XLOOKUP($A17, 'Exports Historic'!$A$10:$A$23, 'Exports Historic'!$10:$23)),
_xlfn.XLOOKUP(B$7, 'Exports Historic'!$26:$26, _xlfn.XLOOKUP($A17, 'Exports Historic'!$A$28:$A$41, 'Exports Historic'!$28:$41))
)</f>
        <v>79338440646.110992</v>
      </c>
      <c r="C17" s="76" cm="1">
        <f t="array" ref="C17">IF($E$1="Financial Year",
_xlfn.XLOOKUP(C$7, 'Exports Historic'!$8:$8, _xlfn.XLOOKUP($A17, 'Exports Historic'!$A$10:$A$23, 'Exports Historic'!$10:$23)),
_xlfn.XLOOKUP(C$7, 'Exports Historic'!$26:$26, _xlfn.XLOOKUP($A17, 'Exports Historic'!$A$28:$A$41, 'Exports Historic'!$28:$41))
)</f>
        <v>56222735062.489571</v>
      </c>
      <c r="D17" s="77">
        <f t="shared" si="1"/>
        <v>-23115705583.621422</v>
      </c>
      <c r="E17" s="78">
        <f t="shared" si="0"/>
        <v>-0.29135568326492572</v>
      </c>
      <c r="F17" s="79"/>
    </row>
    <row r="18" spans="1:6" x14ac:dyDescent="0.3">
      <c r="A18" s="88" t="s">
        <v>94</v>
      </c>
      <c r="B18" s="89" cm="1">
        <f t="array" ref="B18">IF($E$1="Financial Year",
_xlfn.XLOOKUP(B$7, 'Exports Historic'!$8:$8, _xlfn.XLOOKUP($A18, 'Exports Historic'!$A$10:$A$23, 'Exports Historic'!$10:$23)),
_xlfn.XLOOKUP(B$7, 'Exports Historic'!$26:$26, _xlfn.XLOOKUP($A18, 'Exports Historic'!$A$28:$A$41, 'Exports Historic'!$28:$41))
)</f>
        <v>251794629571.23099</v>
      </c>
      <c r="C18" s="89" cm="1">
        <f t="array" ref="C18">IF($E$1="Financial Year",
_xlfn.XLOOKUP(C$7, 'Exports Historic'!$8:$8, _xlfn.XLOOKUP($A18, 'Exports Historic'!$A$10:$A$23, 'Exports Historic'!$10:$23)),
_xlfn.XLOOKUP(C$7, 'Exports Historic'!$26:$26, _xlfn.XLOOKUP($A18, 'Exports Historic'!$A$28:$A$41, 'Exports Historic'!$28:$41))
)</f>
        <v>232953322246.48956</v>
      </c>
      <c r="D18" s="90">
        <f t="shared" ref="D18" si="2">C18-B18</f>
        <v>-18841307324.741425</v>
      </c>
      <c r="E18" s="91">
        <f t="shared" ref="E18" si="3">D18/B18</f>
        <v>-7.4828074597243735E-2</v>
      </c>
      <c r="F18" s="79"/>
    </row>
    <row r="19" spans="1:6" x14ac:dyDescent="0.3">
      <c r="A19" s="92" t="s">
        <v>95</v>
      </c>
      <c r="B19" s="93" cm="1">
        <f t="array" ref="B19">IF($E$1="Financial Year",
_xlfn.XLOOKUP(B$7, 'Exports Historic'!$8:$8, _xlfn.XLOOKUP($A19, 'Exports Historic'!$A$10:$A$23, 'Exports Historic'!$10:$23)),
_xlfn.XLOOKUP(B$7, 'Exports Historic'!$26:$26, _xlfn.XLOOKUP($A19, 'Exports Historic'!$A$28:$A$41, 'Exports Historic'!$28:$41))
)</f>
        <v>0.93609867378693445</v>
      </c>
      <c r="C19" s="93" cm="1">
        <f t="array" ref="C19">IF($E$1="Financial Year",
_xlfn.XLOOKUP(C$7, 'Exports Historic'!$8:$8, _xlfn.XLOOKUP($A19, 'Exports Historic'!$A$10:$A$23, 'Exports Historic'!$10:$23)),
_xlfn.XLOOKUP(C$7, 'Exports Historic'!$26:$26, _xlfn.XLOOKUP($A19, 'Exports Historic'!$A$28:$A$41, 'Exports Historic'!$28:$41))
)</f>
        <v>0.9286299455326722</v>
      </c>
      <c r="D19" s="94" t="s">
        <v>96</v>
      </c>
      <c r="E19" s="95">
        <f>C19-B19</f>
        <v>-7.4687282542622579E-3</v>
      </c>
    </row>
    <row r="20" spans="1:6" x14ac:dyDescent="0.3">
      <c r="A20" s="92" t="s">
        <v>97</v>
      </c>
      <c r="B20" s="96" cm="1">
        <f t="array" ref="B20">IF($E$1="Financial Year",
_xlfn.XLOOKUP(B$7, 'Exports Historic'!$8:$8, _xlfn.XLOOKUP($A20, 'Exports Historic'!$A$10:$A$23, 'Exports Historic'!$10:$23)),
_xlfn.XLOOKUP(B$7, 'Exports Historic'!$26:$26, _xlfn.XLOOKUP($A20, 'Exports Historic'!$A$28:$A$41, 'Exports Historic'!$28:$41))
)</f>
        <v>466293062116.10303</v>
      </c>
      <c r="C20" s="96" cm="1">
        <f t="array" ref="C20">IF($E$1="Financial Year",
_xlfn.XLOOKUP(C$7, 'Exports Historic'!$8:$8, _xlfn.XLOOKUP($A20, 'Exports Historic'!$A$10:$A$23, 'Exports Historic'!$10:$23)),
_xlfn.XLOOKUP(C$7, 'Exports Historic'!$26:$26, _xlfn.XLOOKUP($A20, 'Exports Historic'!$A$28:$A$41, 'Exports Historic'!$28:$41))
)</f>
        <v>415158511163.07007</v>
      </c>
      <c r="D20" s="94">
        <f t="shared" ref="D20" si="4">C20-B20</f>
        <v>-51134550953.032959</v>
      </c>
      <c r="E20" s="95">
        <f t="shared" ref="E20" si="5">D20/B20</f>
        <v>-0.10966183095450151</v>
      </c>
    </row>
    <row r="21" spans="1:6" ht="15" thickBot="1" x14ac:dyDescent="0.35">
      <c r="A21" s="97" t="s">
        <v>98</v>
      </c>
      <c r="B21" s="98" cm="1">
        <f t="array" ref="B21">IF($E$1="Financial Year",
_xlfn.XLOOKUP(B$7, 'Exports Historic'!$8:$8, _xlfn.XLOOKUP($A21, 'Exports Historic'!$A$10:$A$23, 'Exports Historic'!$10:$23)),
_xlfn.XLOOKUP(B$7, 'Exports Historic'!$26:$26, _xlfn.XLOOKUP($A21, 'Exports Historic'!$A$28:$A$41, 'Exports Historic'!$28:$41))
)</f>
        <v>0.53999222812484449</v>
      </c>
      <c r="C21" s="98" cm="1">
        <f t="array" ref="C21">IF($E$1="Financial Year",
_xlfn.XLOOKUP(C$7, 'Exports Historic'!$8:$8, _xlfn.XLOOKUP($A21, 'Exports Historic'!$A$10:$A$23, 'Exports Historic'!$10:$23)),
_xlfn.XLOOKUP(C$7, 'Exports Historic'!$26:$26, _xlfn.XLOOKUP($A21, 'Exports Historic'!$A$28:$A$41, 'Exports Historic'!$28:$41))
)</f>
        <v>0.56111898463521526</v>
      </c>
      <c r="D21" s="99" t="s">
        <v>96</v>
      </c>
      <c r="E21" s="100">
        <f>C21-B21</f>
        <v>2.112675651037077E-2</v>
      </c>
    </row>
    <row r="22" spans="1:6" x14ac:dyDescent="0.3">
      <c r="A22" s="101"/>
      <c r="B22" s="102"/>
      <c r="C22" s="102"/>
      <c r="D22" s="102"/>
      <c r="E22" s="102"/>
    </row>
    <row r="23" spans="1:6" x14ac:dyDescent="0.3">
      <c r="A23" s="103"/>
    </row>
    <row r="24" spans="1:6" x14ac:dyDescent="0.3">
      <c r="A24" s="103"/>
    </row>
    <row r="28" spans="1:6" x14ac:dyDescent="0.3">
      <c r="C28" s="104"/>
    </row>
    <row r="34" spans="1:1" x14ac:dyDescent="0.3">
      <c r="A34" s="105"/>
    </row>
    <row r="234" spans="2:2" x14ac:dyDescent="0.3">
      <c r="B234">
        <v>63.54</v>
      </c>
    </row>
    <row r="235" spans="2:2" x14ac:dyDescent="0.3">
      <c r="B235">
        <v>63.86</v>
      </c>
    </row>
    <row r="236" spans="2:2" x14ac:dyDescent="0.3">
      <c r="B236">
        <v>63.7</v>
      </c>
    </row>
    <row r="237" spans="2:2" x14ac:dyDescent="0.3">
      <c r="B237">
        <v>64.67</v>
      </c>
    </row>
    <row r="238" spans="2:2" x14ac:dyDescent="0.3">
      <c r="B238">
        <v>65.03</v>
      </c>
    </row>
    <row r="239" spans="2:2" x14ac:dyDescent="0.3">
      <c r="B239">
        <v>64.67</v>
      </c>
    </row>
    <row r="240" spans="2:2" x14ac:dyDescent="0.3">
      <c r="B240">
        <v>65.260000000000005</v>
      </c>
    </row>
    <row r="241" spans="2:2" x14ac:dyDescent="0.3">
      <c r="B241">
        <v>66.599999999999994</v>
      </c>
    </row>
    <row r="242" spans="2:2" x14ac:dyDescent="0.3">
      <c r="B242">
        <v>66.28</v>
      </c>
    </row>
    <row r="243" spans="2:2" x14ac:dyDescent="0.3">
      <c r="B243">
        <v>65.11</v>
      </c>
    </row>
    <row r="244" spans="2:2" x14ac:dyDescent="0.3">
      <c r="B244">
        <v>64.040000000000006</v>
      </c>
    </row>
    <row r="245" spans="2:2" x14ac:dyDescent="0.3">
      <c r="B245">
        <v>64.569999999999993</v>
      </c>
    </row>
  </sheetData>
  <mergeCells count="2">
    <mergeCell ref="A6:E6"/>
    <mergeCell ref="D7:E7"/>
  </mergeCells>
  <conditionalFormatting sqref="F15:G16 E21 D9:E10 D17:E20">
    <cfRule type="cellIs" dxfId="8" priority="4" operator="lessThan">
      <formula>0</formula>
    </cfRule>
  </conditionalFormatting>
  <conditionalFormatting sqref="D11:E12">
    <cfRule type="cellIs" dxfId="7" priority="3" operator="lessThan">
      <formula>0</formula>
    </cfRule>
  </conditionalFormatting>
  <conditionalFormatting sqref="D13:E14">
    <cfRule type="cellIs" dxfId="6" priority="2" operator="lessThan">
      <formula>0</formula>
    </cfRule>
  </conditionalFormatting>
  <conditionalFormatting sqref="D15:E16">
    <cfRule type="cellIs" dxfId="5" priority="1" operator="lessThan">
      <formula>0</formula>
    </cfRule>
  </conditionalFormatting>
  <dataValidations count="1">
    <dataValidation type="list" allowBlank="1" showInputMessage="1" showErrorMessage="1" promptTitle="Select a Period" prompt="Click to select Calendar or Financial Year" sqref="E1" xr:uid="{2FBBE3E0-682F-42D7-AB90-5EAEF99F95C1}">
      <formula1>$U$1:$U$2</formula1>
    </dataValidation>
  </dataValidations>
  <pageMargins left="0.70866141732283472" right="0.70866141732283472" top="0.74803149606299213" bottom="0.74803149606299213" header="0.31496062992125984" footer="0.31496062992125984"/>
  <pageSetup paperSize="9" scale="9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0B9AF-6B75-4E12-A0E0-0774C2DB8FA6}">
  <sheetPr codeName="Sheet7"/>
  <dimension ref="A1:Z91"/>
  <sheetViews>
    <sheetView showGridLines="0" zoomScale="85" zoomScaleNormal="85" workbookViewId="0">
      <pane xSplit="1" topLeftCell="B1" activePane="topRight" state="frozen"/>
      <selection pane="topRight"/>
    </sheetView>
  </sheetViews>
  <sheetFormatPr defaultColWidth="9.109375" defaultRowHeight="14.4" x14ac:dyDescent="0.3"/>
  <cols>
    <col min="1" max="1" width="66.88671875" customWidth="1"/>
    <col min="2" max="2" width="16.44140625" bestFit="1" customWidth="1"/>
    <col min="3" max="3" width="17.5546875" bestFit="1" customWidth="1"/>
    <col min="4" max="5" width="16.44140625" bestFit="1" customWidth="1"/>
    <col min="6" max="7" width="17.5546875" bestFit="1" customWidth="1"/>
    <col min="8" max="10" width="17.5546875" customWidth="1"/>
    <col min="11" max="11" width="39.6640625" customWidth="1"/>
  </cols>
  <sheetData>
    <row r="1" spans="1:26" x14ac:dyDescent="0.3">
      <c r="B1" s="3">
        <f t="shared" ref="B1:J1" ca="1" si="0">IFERROR(SUM(LEFT(INDIRECT(ADDRESS(8,COLUMN(),1,0),FALSE),4)),"")</f>
        <v>2015</v>
      </c>
      <c r="C1" s="3">
        <f t="shared" ca="1" si="0"/>
        <v>2016</v>
      </c>
      <c r="D1" s="3">
        <f t="shared" ca="1" si="0"/>
        <v>2017</v>
      </c>
      <c r="E1" s="3">
        <f t="shared" ca="1" si="0"/>
        <v>2018</v>
      </c>
      <c r="F1" s="3">
        <f t="shared" ca="1" si="0"/>
        <v>2019</v>
      </c>
      <c r="G1" s="3">
        <f t="shared" ca="1" si="0"/>
        <v>2020</v>
      </c>
      <c r="H1" s="3">
        <f t="shared" ca="1" si="0"/>
        <v>2021</v>
      </c>
      <c r="I1" s="3">
        <f t="shared" ca="1" si="0"/>
        <v>2022</v>
      </c>
      <c r="J1" s="3">
        <f t="shared" ca="1" si="0"/>
        <v>2023</v>
      </c>
      <c r="K1" s="2" t="str">
        <f t="shared" ref="K1:Z1" ca="1" si="1">IFERROR(SUM(LEFT(INDIRECT(ADDRESS(8,COLUMN(),1,0),FALSE),4)),"")</f>
        <v/>
      </c>
      <c r="L1" s="2" t="str">
        <f t="shared" ca="1" si="1"/>
        <v/>
      </c>
      <c r="M1" s="2" t="str">
        <f t="shared" ca="1" si="1"/>
        <v/>
      </c>
      <c r="N1" s="2" t="str">
        <f t="shared" ca="1" si="1"/>
        <v/>
      </c>
      <c r="O1" s="2" t="str">
        <f t="shared" ca="1" si="1"/>
        <v/>
      </c>
      <c r="P1" s="2" t="str">
        <f t="shared" ca="1" si="1"/>
        <v/>
      </c>
      <c r="Q1" s="2" t="str">
        <f t="shared" ca="1" si="1"/>
        <v/>
      </c>
      <c r="R1" s="2" t="str">
        <f t="shared" ca="1" si="1"/>
        <v/>
      </c>
      <c r="S1" s="2" t="str">
        <f t="shared" ca="1" si="1"/>
        <v/>
      </c>
      <c r="T1" s="2" t="str">
        <f t="shared" ca="1" si="1"/>
        <v/>
      </c>
      <c r="U1" s="2" t="str">
        <f t="shared" ca="1" si="1"/>
        <v/>
      </c>
      <c r="V1" s="2" t="str">
        <f t="shared" ca="1" si="1"/>
        <v/>
      </c>
      <c r="W1" s="2" t="str">
        <f t="shared" ca="1" si="1"/>
        <v/>
      </c>
      <c r="X1" s="2" t="str">
        <f t="shared" ca="1" si="1"/>
        <v/>
      </c>
      <c r="Y1" s="2" t="str">
        <f t="shared" ca="1" si="1"/>
        <v/>
      </c>
      <c r="Z1" s="2" t="str">
        <f t="shared" ca="1" si="1"/>
        <v/>
      </c>
    </row>
    <row r="2" spans="1:26" x14ac:dyDescent="0.3">
      <c r="A2" s="3" t="str">
        <f>ADDRESS(8,(A3-1),1,)</f>
        <v>$I$8</v>
      </c>
      <c r="B2" s="2"/>
      <c r="C2" s="2"/>
      <c r="D2" s="2"/>
      <c r="E2" s="2"/>
      <c r="F2" s="2"/>
      <c r="G2" s="2"/>
      <c r="H2" s="2"/>
      <c r="I2" s="2"/>
      <c r="J2" s="2"/>
      <c r="K2" s="2"/>
      <c r="L2" s="2"/>
      <c r="M2" s="2"/>
      <c r="N2" s="2"/>
      <c r="O2" s="2"/>
      <c r="P2" s="2"/>
      <c r="Q2" s="2"/>
      <c r="R2" s="2"/>
      <c r="S2" s="2"/>
      <c r="T2" s="2"/>
      <c r="U2" s="2"/>
      <c r="V2" s="2"/>
      <c r="W2" s="2"/>
      <c r="X2" s="2"/>
      <c r="Y2" s="2"/>
      <c r="Z2" s="2"/>
    </row>
    <row r="3" spans="1:26" x14ac:dyDescent="0.3">
      <c r="A3" s="106">
        <f>MATCH("Cumulative Total",A8:BX8)</f>
        <v>10</v>
      </c>
      <c r="B3" s="2"/>
      <c r="C3" s="2"/>
      <c r="D3" s="2"/>
      <c r="E3" s="2"/>
      <c r="F3" s="2"/>
      <c r="G3" s="2"/>
      <c r="H3" s="2"/>
      <c r="I3" s="2"/>
      <c r="J3" s="2"/>
      <c r="K3" s="2"/>
      <c r="L3" s="2"/>
      <c r="M3" s="2"/>
      <c r="N3" s="2"/>
      <c r="O3" s="2"/>
      <c r="P3" s="2"/>
      <c r="Q3" s="2"/>
      <c r="R3" s="2"/>
      <c r="S3" s="2"/>
      <c r="T3" s="2"/>
      <c r="U3" s="2"/>
      <c r="V3" s="2"/>
      <c r="W3" s="2"/>
      <c r="X3" s="2"/>
      <c r="Y3" s="2"/>
      <c r="Z3" s="2"/>
    </row>
    <row r="4" spans="1:26" x14ac:dyDescent="0.3">
      <c r="B4" s="2"/>
      <c r="C4" s="2"/>
      <c r="D4" s="2"/>
      <c r="E4" s="2"/>
      <c r="F4" s="2"/>
      <c r="G4" s="2"/>
      <c r="H4" s="2"/>
      <c r="I4" s="2"/>
      <c r="J4" s="2"/>
      <c r="K4" s="2"/>
      <c r="L4" s="2"/>
      <c r="M4" s="2"/>
      <c r="N4" s="2"/>
      <c r="O4" s="2"/>
      <c r="P4" s="2"/>
      <c r="Q4" s="2"/>
      <c r="R4" s="2"/>
      <c r="S4" s="2"/>
      <c r="T4" s="2"/>
      <c r="U4" s="2"/>
      <c r="V4" s="2"/>
      <c r="W4" s="2"/>
      <c r="X4" s="2"/>
      <c r="Y4" s="2"/>
      <c r="Z4" s="2"/>
    </row>
    <row r="5" spans="1:26" x14ac:dyDescent="0.3">
      <c r="B5" s="358"/>
      <c r="C5" s="358"/>
      <c r="D5" s="358"/>
      <c r="E5" s="358"/>
      <c r="F5" s="358"/>
      <c r="G5" s="358"/>
      <c r="H5" s="358"/>
      <c r="I5" s="358"/>
      <c r="J5" s="358"/>
    </row>
    <row r="6" spans="1:26" x14ac:dyDescent="0.3">
      <c r="B6" s="107"/>
      <c r="C6" s="107"/>
      <c r="D6" s="107"/>
      <c r="E6" s="107"/>
      <c r="F6" s="107"/>
      <c r="G6" s="107"/>
      <c r="H6" s="107"/>
      <c r="I6" s="107"/>
      <c r="J6" s="107"/>
    </row>
    <row r="7" spans="1:26" ht="15" thickBot="1" x14ac:dyDescent="0.35">
      <c r="A7" s="108" t="s">
        <v>99</v>
      </c>
    </row>
    <row r="8" spans="1:26" s="3" customFormat="1" x14ac:dyDescent="0.3">
      <c r="A8" s="641" t="s">
        <v>82</v>
      </c>
      <c r="B8" s="606" t="s">
        <v>100</v>
      </c>
      <c r="C8" s="109" t="s">
        <v>101</v>
      </c>
      <c r="D8" s="110" t="s">
        <v>102</v>
      </c>
      <c r="E8" s="110" t="s">
        <v>103</v>
      </c>
      <c r="F8" s="110" t="s">
        <v>104</v>
      </c>
      <c r="G8" s="110" t="s">
        <v>105</v>
      </c>
      <c r="H8" s="110" t="s">
        <v>106</v>
      </c>
      <c r="I8" s="110" t="s">
        <v>107</v>
      </c>
      <c r="J8" s="608" t="s">
        <v>703</v>
      </c>
    </row>
    <row r="9" spans="1:26" s="3" customFormat="1" x14ac:dyDescent="0.3">
      <c r="A9" s="642"/>
      <c r="B9" s="111" t="s">
        <v>83</v>
      </c>
      <c r="C9" s="112" t="s">
        <v>83</v>
      </c>
      <c r="D9" s="112" t="s">
        <v>83</v>
      </c>
      <c r="E9" s="112" t="s">
        <v>83</v>
      </c>
      <c r="F9" s="112" t="s">
        <v>83</v>
      </c>
      <c r="G9" s="112" t="s">
        <v>83</v>
      </c>
      <c r="H9" s="112" t="s">
        <v>83</v>
      </c>
      <c r="I9" s="112" t="s">
        <v>83</v>
      </c>
      <c r="J9" s="609" t="s">
        <v>83</v>
      </c>
    </row>
    <row r="10" spans="1:26" x14ac:dyDescent="0.3">
      <c r="A10" s="75" t="s">
        <v>85</v>
      </c>
      <c r="B10" s="77">
        <v>4466034361.210001</v>
      </c>
      <c r="C10" s="610">
        <v>5324077335.3299999</v>
      </c>
      <c r="D10" s="610">
        <v>6568681703.5200005</v>
      </c>
      <c r="E10" s="610">
        <v>9265892697.4399986</v>
      </c>
      <c r="F10" s="610">
        <v>6014172600.4899988</v>
      </c>
      <c r="G10" s="610">
        <v>5759591760.54</v>
      </c>
      <c r="H10" s="113">
        <v>7912086501.079999</v>
      </c>
      <c r="I10" s="113">
        <v>7661685868.5000029</v>
      </c>
      <c r="J10" s="611">
        <v>6407371000</v>
      </c>
    </row>
    <row r="11" spans="1:26" x14ac:dyDescent="0.3">
      <c r="A11" s="75" t="s">
        <v>86</v>
      </c>
      <c r="B11" s="81">
        <v>1483207183.1300001</v>
      </c>
      <c r="C11" s="612">
        <v>1383583496.0000002</v>
      </c>
      <c r="D11" s="612">
        <v>1738118694.6407695</v>
      </c>
      <c r="E11" s="612">
        <v>3234659683.4799991</v>
      </c>
      <c r="F11" s="612" t="s">
        <v>96</v>
      </c>
      <c r="G11" s="612" t="s">
        <v>96</v>
      </c>
      <c r="H11" s="613" t="s">
        <v>96</v>
      </c>
      <c r="I11" s="613" t="s">
        <v>96</v>
      </c>
      <c r="J11" s="614" t="s">
        <v>96</v>
      </c>
    </row>
    <row r="12" spans="1:26" x14ac:dyDescent="0.3">
      <c r="A12" s="83" t="s">
        <v>87</v>
      </c>
      <c r="B12" s="77">
        <v>16373219000</v>
      </c>
      <c r="C12" s="610">
        <v>17741122000</v>
      </c>
      <c r="D12" s="610">
        <v>17700149000</v>
      </c>
      <c r="E12" s="610">
        <v>16626054000</v>
      </c>
      <c r="F12" s="610">
        <v>21515648000</v>
      </c>
      <c r="G12" s="610">
        <v>22012884000</v>
      </c>
      <c r="H12" s="113">
        <v>18736895000</v>
      </c>
      <c r="I12" s="113">
        <v>20004416000</v>
      </c>
      <c r="J12" s="611">
        <v>24930123000</v>
      </c>
    </row>
    <row r="13" spans="1:26" x14ac:dyDescent="0.3">
      <c r="A13" s="75" t="s">
        <v>88</v>
      </c>
      <c r="B13" s="81">
        <v>48991250609.947304</v>
      </c>
      <c r="C13" s="612">
        <v>61910540000</v>
      </c>
      <c r="D13" s="612">
        <v>60702755000</v>
      </c>
      <c r="E13" s="612">
        <v>76201421000</v>
      </c>
      <c r="F13" s="612">
        <v>101097606000</v>
      </c>
      <c r="G13" s="612">
        <v>151155043000</v>
      </c>
      <c r="H13" s="613">
        <v>130967158000</v>
      </c>
      <c r="I13" s="613">
        <v>122529044000</v>
      </c>
      <c r="J13" s="614">
        <v>136139123000</v>
      </c>
    </row>
    <row r="14" spans="1:26" x14ac:dyDescent="0.3">
      <c r="A14" s="75" t="s">
        <v>89</v>
      </c>
      <c r="B14" s="77" t="s">
        <v>96</v>
      </c>
      <c r="C14" s="610" t="s">
        <v>96</v>
      </c>
      <c r="D14" s="610" t="s">
        <v>96</v>
      </c>
      <c r="E14" s="610" t="s">
        <v>96</v>
      </c>
      <c r="F14" s="610" t="s">
        <v>96</v>
      </c>
      <c r="G14" s="610" t="s">
        <v>96</v>
      </c>
      <c r="H14" s="113">
        <v>4914857218</v>
      </c>
      <c r="I14" s="113">
        <v>20042373602</v>
      </c>
      <c r="J14" s="611">
        <v>9253970184</v>
      </c>
    </row>
    <row r="15" spans="1:26" x14ac:dyDescent="0.3">
      <c r="A15" s="75" t="s">
        <v>90</v>
      </c>
      <c r="B15" s="81">
        <v>841133341</v>
      </c>
      <c r="C15" s="612">
        <v>806474228.03000009</v>
      </c>
      <c r="D15" s="612">
        <v>1008022355.9499999</v>
      </c>
      <c r="E15" s="612">
        <v>1496378533.6100001</v>
      </c>
      <c r="F15" s="612">
        <v>1197954590.4200003</v>
      </c>
      <c r="G15" s="612">
        <v>1469630089.22</v>
      </c>
      <c r="H15" s="613">
        <v>2123092734.3100002</v>
      </c>
      <c r="I15" s="613">
        <v>2218669454.6199994</v>
      </c>
      <c r="J15" s="614" t="s">
        <v>96</v>
      </c>
    </row>
    <row r="16" spans="1:26" x14ac:dyDescent="0.3">
      <c r="A16" s="75" t="s">
        <v>91</v>
      </c>
      <c r="B16" s="77">
        <v>1920448656</v>
      </c>
      <c r="C16" s="610">
        <v>1729825092.0759158</v>
      </c>
      <c r="D16" s="610">
        <v>1698535191.2291012</v>
      </c>
      <c r="E16" s="610">
        <v>2708091037.479547</v>
      </c>
      <c r="F16" s="610">
        <v>3937634801.4453535</v>
      </c>
      <c r="G16" s="610">
        <v>2750976562.9074678</v>
      </c>
      <c r="H16" s="113" t="s">
        <v>96</v>
      </c>
      <c r="I16" s="113" t="s">
        <v>96</v>
      </c>
      <c r="J16" s="611" t="s">
        <v>96</v>
      </c>
    </row>
    <row r="17" spans="1:23" x14ac:dyDescent="0.3">
      <c r="A17" s="75" t="s">
        <v>92</v>
      </c>
      <c r="B17" s="81">
        <v>14245957004.279999</v>
      </c>
      <c r="C17" s="612">
        <v>16850927693.679989</v>
      </c>
      <c r="D17" s="612">
        <v>24731655897.799992</v>
      </c>
      <c r="E17" s="612">
        <v>36428766126.738007</v>
      </c>
      <c r="F17" s="612">
        <v>34729631856</v>
      </c>
      <c r="G17" s="612" t="s">
        <v>96</v>
      </c>
      <c r="H17" s="613" t="s">
        <v>96</v>
      </c>
      <c r="I17" s="613" t="s">
        <v>96</v>
      </c>
      <c r="J17" s="614" t="s">
        <v>96</v>
      </c>
    </row>
    <row r="18" spans="1:23" x14ac:dyDescent="0.3">
      <c r="A18" s="75" t="s">
        <v>93</v>
      </c>
      <c r="B18" s="77">
        <v>1601787044</v>
      </c>
      <c r="C18" s="610">
        <v>1827111079</v>
      </c>
      <c r="D18" s="610">
        <v>3559295555.4510002</v>
      </c>
      <c r="E18" s="610">
        <v>3518364824.0458002</v>
      </c>
      <c r="F18" s="610">
        <v>4382927354.4287233</v>
      </c>
      <c r="G18" s="610">
        <v>26160621167.610451</v>
      </c>
      <c r="H18" s="113">
        <v>60802902786.457672</v>
      </c>
      <c r="I18" s="113">
        <v>79338440646.110992</v>
      </c>
      <c r="J18" s="611">
        <v>56222735062.489571</v>
      </c>
    </row>
    <row r="19" spans="1:23" x14ac:dyDescent="0.3">
      <c r="A19" s="88" t="s">
        <v>94</v>
      </c>
      <c r="B19" s="115">
        <f t="shared" ref="B19:F19" si="2">SUM(B10:B18)</f>
        <v>89923037199.567307</v>
      </c>
      <c r="C19" s="116">
        <f t="shared" si="2"/>
        <v>107573660924.11591</v>
      </c>
      <c r="D19" s="116">
        <f t="shared" si="2"/>
        <v>117707213398.59085</v>
      </c>
      <c r="E19" s="116">
        <f t="shared" si="2"/>
        <v>149479627902.79337</v>
      </c>
      <c r="F19" s="116">
        <f t="shared" si="2"/>
        <v>172875575202.78406</v>
      </c>
      <c r="G19" s="116">
        <f>SUM(G10:G18)</f>
        <v>209308746580.27792</v>
      </c>
      <c r="H19" s="116">
        <f>SUM(H10:H18)</f>
        <v>225456992239.84766</v>
      </c>
      <c r="I19" s="116">
        <f>SUM(I10:I18)</f>
        <v>251794629571.23099</v>
      </c>
      <c r="J19" s="615">
        <f>SUM(J10:J18)</f>
        <v>232953322246.48956</v>
      </c>
    </row>
    <row r="20" spans="1:23" x14ac:dyDescent="0.3">
      <c r="A20" s="75" t="s">
        <v>1241</v>
      </c>
      <c r="B20" s="120">
        <v>99635000000</v>
      </c>
      <c r="C20" s="113">
        <v>120398000000</v>
      </c>
      <c r="D20" s="113">
        <v>129698000000</v>
      </c>
      <c r="E20" s="113">
        <v>162318000000</v>
      </c>
      <c r="F20" s="113">
        <v>184337000000</v>
      </c>
      <c r="G20" s="113">
        <v>223001000000</v>
      </c>
      <c r="H20" s="113">
        <v>240382000000</v>
      </c>
      <c r="I20" s="113">
        <v>268983000000</v>
      </c>
      <c r="J20" s="611">
        <v>250857000000</v>
      </c>
    </row>
    <row r="21" spans="1:23" x14ac:dyDescent="0.3">
      <c r="A21" s="75" t="s">
        <v>95</v>
      </c>
      <c r="B21" s="117">
        <f>B19/B20</f>
        <v>0.9025245867372641</v>
      </c>
      <c r="C21" s="118">
        <f t="shared" ref="C21:J21" si="3">C19/C20</f>
        <v>0.89348378647582105</v>
      </c>
      <c r="D21" s="118">
        <f t="shared" si="3"/>
        <v>0.90754840782888591</v>
      </c>
      <c r="E21" s="118">
        <f t="shared" si="3"/>
        <v>0.92090604802174347</v>
      </c>
      <c r="F21" s="118">
        <f t="shared" si="3"/>
        <v>0.93782352540609892</v>
      </c>
      <c r="G21" s="118">
        <f t="shared" si="3"/>
        <v>0.93860003578583917</v>
      </c>
      <c r="H21" s="119">
        <f t="shared" si="3"/>
        <v>0.93791129219262526</v>
      </c>
      <c r="I21" s="119">
        <f t="shared" si="3"/>
        <v>0.93609867378693445</v>
      </c>
      <c r="J21" s="616">
        <f t="shared" si="3"/>
        <v>0.9286299455326722</v>
      </c>
    </row>
    <row r="22" spans="1:23" x14ac:dyDescent="0.3">
      <c r="A22" s="75" t="s">
        <v>97</v>
      </c>
      <c r="B22" s="120">
        <v>161557104103.61801</v>
      </c>
      <c r="C22" s="113">
        <v>205299798929.62</v>
      </c>
      <c r="D22" s="113">
        <v>228530111680.47101</v>
      </c>
      <c r="E22" s="113">
        <v>280071365982.40002</v>
      </c>
      <c r="F22" s="113">
        <v>289489051348.6109</v>
      </c>
      <c r="G22" s="113">
        <v>308493960123.31909</v>
      </c>
      <c r="H22" s="113">
        <v>421690764460.46045</v>
      </c>
      <c r="I22" s="113">
        <v>466293062116.10303</v>
      </c>
      <c r="J22" s="611">
        <v>415158511163.07007</v>
      </c>
    </row>
    <row r="23" spans="1:23" ht="15" thickBot="1" x14ac:dyDescent="0.35">
      <c r="A23" s="617" t="s">
        <v>98</v>
      </c>
      <c r="B23" s="121">
        <f>B19/B22</f>
        <v>0.55660218532942562</v>
      </c>
      <c r="C23" s="122">
        <f t="shared" ref="C23:J23" si="4">C19/C22</f>
        <v>0.52398327463045324</v>
      </c>
      <c r="D23" s="122">
        <f t="shared" si="4"/>
        <v>0.51506216197525923</v>
      </c>
      <c r="E23" s="122">
        <f t="shared" si="4"/>
        <v>0.53371978023696587</v>
      </c>
      <c r="F23" s="122">
        <f t="shared" si="4"/>
        <v>0.59717483061078669</v>
      </c>
      <c r="G23" s="122">
        <f t="shared" si="4"/>
        <v>0.67848571977424676</v>
      </c>
      <c r="H23" s="122">
        <f t="shared" si="4"/>
        <v>0.53465005933509713</v>
      </c>
      <c r="I23" s="122">
        <f t="shared" si="4"/>
        <v>0.53999222812484449</v>
      </c>
      <c r="J23" s="618">
        <f t="shared" si="4"/>
        <v>0.56111898463521526</v>
      </c>
    </row>
    <row r="24" spans="1:23" x14ac:dyDescent="0.3">
      <c r="A24" s="123"/>
      <c r="B24" s="124"/>
      <c r="C24" s="124"/>
      <c r="D24" s="124"/>
      <c r="E24" s="124"/>
      <c r="F24" s="124"/>
      <c r="G24" s="125"/>
      <c r="H24" s="125"/>
      <c r="I24" s="125"/>
      <c r="J24" s="124"/>
    </row>
    <row r="25" spans="1:23" ht="15" thickBot="1" x14ac:dyDescent="0.35">
      <c r="A25" s="4" t="s">
        <v>110</v>
      </c>
      <c r="B25" s="126"/>
      <c r="C25" s="126"/>
      <c r="D25" s="126"/>
      <c r="E25" s="126"/>
      <c r="F25" s="126"/>
      <c r="G25" s="126"/>
      <c r="H25" s="126"/>
      <c r="I25" s="126"/>
      <c r="J25" s="126"/>
    </row>
    <row r="26" spans="1:23" x14ac:dyDescent="0.3">
      <c r="A26" s="641" t="s">
        <v>82</v>
      </c>
      <c r="B26" s="606">
        <v>2015</v>
      </c>
      <c r="C26" s="109">
        <v>2016</v>
      </c>
      <c r="D26" s="109">
        <v>2017</v>
      </c>
      <c r="E26" s="109">
        <v>2018</v>
      </c>
      <c r="F26" s="109">
        <v>2019</v>
      </c>
      <c r="G26" s="109">
        <v>2020</v>
      </c>
      <c r="H26" s="109">
        <v>2021</v>
      </c>
      <c r="I26" s="109">
        <v>2022</v>
      </c>
      <c r="J26" s="607">
        <v>2023</v>
      </c>
    </row>
    <row r="27" spans="1:23" x14ac:dyDescent="0.3">
      <c r="A27" s="642"/>
      <c r="B27" s="111" t="s">
        <v>83</v>
      </c>
      <c r="C27" s="112" t="s">
        <v>83</v>
      </c>
      <c r="D27" s="112" t="s">
        <v>83</v>
      </c>
      <c r="E27" s="112" t="s">
        <v>83</v>
      </c>
      <c r="F27" s="112" t="s">
        <v>83</v>
      </c>
      <c r="G27" s="112" t="s">
        <v>83</v>
      </c>
      <c r="H27" s="112" t="s">
        <v>83</v>
      </c>
      <c r="I27" s="112" t="s">
        <v>83</v>
      </c>
      <c r="J27" s="609" t="s">
        <v>83</v>
      </c>
      <c r="L27" s="65"/>
      <c r="M27" s="65"/>
      <c r="N27" s="65"/>
      <c r="O27" s="65"/>
      <c r="P27" s="65"/>
      <c r="Q27" s="65"/>
      <c r="R27" s="65"/>
      <c r="S27" s="65"/>
      <c r="T27" s="65"/>
      <c r="U27" s="65"/>
      <c r="V27" s="65"/>
    </row>
    <row r="28" spans="1:23" x14ac:dyDescent="0.3">
      <c r="A28" s="75" t="s">
        <v>85</v>
      </c>
      <c r="B28" s="77">
        <v>4632530370</v>
      </c>
      <c r="C28" s="610">
        <v>4515825078.8600006</v>
      </c>
      <c r="D28" s="610">
        <v>6039800894.3700008</v>
      </c>
      <c r="E28" s="610">
        <v>8724648651.5200024</v>
      </c>
      <c r="F28" s="610">
        <v>6948705988.1899977</v>
      </c>
      <c r="G28" s="610">
        <v>6467912056.6200008</v>
      </c>
      <c r="H28" s="610">
        <v>6570015391.54</v>
      </c>
      <c r="I28" s="610">
        <v>8205711651.6899986</v>
      </c>
      <c r="J28" s="619">
        <v>7136040673.1100016</v>
      </c>
      <c r="L28" s="126"/>
      <c r="M28" s="126"/>
      <c r="N28" s="126"/>
      <c r="O28" s="126"/>
      <c r="P28" s="126"/>
      <c r="Q28" s="126"/>
      <c r="R28" s="126"/>
      <c r="S28" s="126"/>
      <c r="T28" s="126"/>
      <c r="U28" s="126"/>
      <c r="V28" s="126"/>
      <c r="W28" s="126"/>
    </row>
    <row r="29" spans="1:23" x14ac:dyDescent="0.3">
      <c r="A29" s="75" t="s">
        <v>86</v>
      </c>
      <c r="B29" s="81">
        <v>1147524680.1099999</v>
      </c>
      <c r="C29" s="612">
        <v>1628967103</v>
      </c>
      <c r="D29" s="612">
        <v>1673012040.2409997</v>
      </c>
      <c r="E29" s="612">
        <v>1378736329.02</v>
      </c>
      <c r="F29" s="612">
        <v>2282407519.4599991</v>
      </c>
      <c r="G29" s="612" t="s">
        <v>96</v>
      </c>
      <c r="H29" s="612" t="s">
        <v>96</v>
      </c>
      <c r="I29" s="612" t="s">
        <v>96</v>
      </c>
      <c r="J29" s="620" t="s">
        <v>96</v>
      </c>
      <c r="L29" s="126"/>
      <c r="M29" s="126"/>
      <c r="N29" s="126"/>
      <c r="O29" s="126"/>
      <c r="P29" s="126"/>
      <c r="Q29" s="126"/>
      <c r="R29" s="126"/>
      <c r="S29" s="126"/>
      <c r="T29" s="126"/>
      <c r="U29" s="126"/>
      <c r="V29" s="126"/>
    </row>
    <row r="30" spans="1:23" x14ac:dyDescent="0.3">
      <c r="A30" s="83" t="s">
        <v>87</v>
      </c>
      <c r="B30" s="77">
        <v>13794615000</v>
      </c>
      <c r="C30" s="610">
        <v>17751200000</v>
      </c>
      <c r="D30" s="610">
        <v>16083518000</v>
      </c>
      <c r="E30" s="610">
        <v>17465895000</v>
      </c>
      <c r="F30" s="610">
        <v>20603838000</v>
      </c>
      <c r="G30" s="610">
        <v>21793960000</v>
      </c>
      <c r="H30" s="610">
        <v>19233013000</v>
      </c>
      <c r="I30" s="610">
        <v>18777658000</v>
      </c>
      <c r="J30" s="619">
        <v>22752630000</v>
      </c>
      <c r="K30" s="640"/>
      <c r="L30" s="127"/>
      <c r="M30" s="126"/>
      <c r="N30" s="126"/>
      <c r="O30" s="126"/>
      <c r="P30" s="126"/>
      <c r="Q30" s="126"/>
      <c r="R30" s="126"/>
      <c r="S30" s="126"/>
      <c r="T30" s="126"/>
      <c r="U30" s="126"/>
      <c r="V30" s="126"/>
    </row>
    <row r="31" spans="1:23" x14ac:dyDescent="0.3">
      <c r="A31" s="75" t="s">
        <v>88</v>
      </c>
      <c r="B31" s="81">
        <v>49671862980.739998</v>
      </c>
      <c r="C31" s="612">
        <v>53882142375.011696</v>
      </c>
      <c r="D31" s="612">
        <v>62659171000</v>
      </c>
      <c r="E31" s="612">
        <v>62336376000</v>
      </c>
      <c r="F31" s="612">
        <v>95807277000</v>
      </c>
      <c r="G31" s="612">
        <v>115680597000</v>
      </c>
      <c r="H31" s="612">
        <v>152753153000</v>
      </c>
      <c r="I31" s="612">
        <v>122681541000</v>
      </c>
      <c r="J31" s="620">
        <v>134399976000</v>
      </c>
      <c r="K31" s="640"/>
      <c r="L31" s="125"/>
      <c r="M31" s="126"/>
      <c r="N31" s="126"/>
      <c r="O31" s="126"/>
      <c r="P31" s="126"/>
      <c r="Q31" s="126"/>
      <c r="R31" s="126"/>
      <c r="S31" s="126"/>
      <c r="T31" s="126"/>
      <c r="U31" s="126"/>
      <c r="V31" s="126"/>
    </row>
    <row r="32" spans="1:23" x14ac:dyDescent="0.3">
      <c r="A32" s="75" t="s">
        <v>89</v>
      </c>
      <c r="B32" s="77" t="s">
        <v>96</v>
      </c>
      <c r="C32" s="610" t="s">
        <v>96</v>
      </c>
      <c r="D32" s="610" t="s">
        <v>96</v>
      </c>
      <c r="E32" s="610" t="s">
        <v>96</v>
      </c>
      <c r="F32" s="610" t="s">
        <v>96</v>
      </c>
      <c r="G32" s="610" t="s">
        <v>96</v>
      </c>
      <c r="H32" s="610">
        <v>1640564024</v>
      </c>
      <c r="I32" s="610">
        <v>12119998154</v>
      </c>
      <c r="J32" s="619">
        <v>18377033980</v>
      </c>
      <c r="K32" s="128"/>
      <c r="L32" s="125"/>
      <c r="M32" s="126"/>
      <c r="N32" s="126"/>
      <c r="O32" s="126"/>
      <c r="P32" s="126"/>
      <c r="Q32" s="126"/>
      <c r="R32" s="126"/>
      <c r="S32" s="126"/>
      <c r="T32" s="126"/>
      <c r="U32" s="126"/>
      <c r="V32" s="126"/>
    </row>
    <row r="33" spans="1:22" x14ac:dyDescent="0.3">
      <c r="A33" s="75" t="s">
        <v>90</v>
      </c>
      <c r="B33" s="81">
        <v>825915506</v>
      </c>
      <c r="C33" s="612">
        <v>751103653.15999997</v>
      </c>
      <c r="D33" s="612">
        <v>917640490.24000013</v>
      </c>
      <c r="E33" s="612">
        <v>1433470432.5900009</v>
      </c>
      <c r="F33" s="612">
        <v>1178695116.01</v>
      </c>
      <c r="G33" s="612">
        <v>1379053730.4200006</v>
      </c>
      <c r="H33" s="612">
        <v>1888876202.3700004</v>
      </c>
      <c r="I33" s="612">
        <v>2188103396.3499994</v>
      </c>
      <c r="J33" s="620">
        <v>1749940789.8100002</v>
      </c>
      <c r="K33" s="123"/>
      <c r="L33" s="129"/>
      <c r="M33" s="126"/>
      <c r="N33" s="126"/>
      <c r="O33" s="126"/>
      <c r="P33" s="126"/>
      <c r="Q33" s="126"/>
      <c r="R33" s="126"/>
      <c r="S33" s="126"/>
      <c r="T33" s="126"/>
      <c r="U33" s="126"/>
      <c r="V33" s="126"/>
    </row>
    <row r="34" spans="1:22" x14ac:dyDescent="0.3">
      <c r="A34" s="75" t="s">
        <v>91</v>
      </c>
      <c r="B34" s="77">
        <v>2516514207.7200007</v>
      </c>
      <c r="C34" s="610">
        <v>2006080400.7203548</v>
      </c>
      <c r="D34" s="610">
        <v>1998513294.9123409</v>
      </c>
      <c r="E34" s="610">
        <v>2615435735.2463245</v>
      </c>
      <c r="F34" s="610">
        <v>4029555487.9216461</v>
      </c>
      <c r="G34" s="610">
        <v>3071449366.7790599</v>
      </c>
      <c r="H34" s="610" t="s">
        <v>96</v>
      </c>
      <c r="I34" s="610" t="s">
        <v>96</v>
      </c>
      <c r="J34" s="619" t="s">
        <v>96</v>
      </c>
      <c r="K34" s="123"/>
      <c r="L34" s="129"/>
    </row>
    <row r="35" spans="1:22" x14ac:dyDescent="0.3">
      <c r="A35" s="75" t="s">
        <v>92</v>
      </c>
      <c r="B35" s="81">
        <v>16441179572.130009</v>
      </c>
      <c r="C35" s="612">
        <v>14252654720</v>
      </c>
      <c r="D35" s="612">
        <v>19609726638.278793</v>
      </c>
      <c r="E35" s="612">
        <v>33785224381.402382</v>
      </c>
      <c r="F35" s="612">
        <v>36883059859.228416</v>
      </c>
      <c r="G35" s="612">
        <v>25057419520.939999</v>
      </c>
      <c r="H35" s="612" t="s">
        <v>96</v>
      </c>
      <c r="I35" s="612" t="s">
        <v>96</v>
      </c>
      <c r="J35" s="620" t="s">
        <v>96</v>
      </c>
      <c r="K35" s="123"/>
      <c r="L35" s="129"/>
    </row>
    <row r="36" spans="1:22" x14ac:dyDescent="0.3">
      <c r="A36" s="75" t="s">
        <v>93</v>
      </c>
      <c r="B36" s="77">
        <v>1670607188</v>
      </c>
      <c r="C36" s="610">
        <v>1490685625</v>
      </c>
      <c r="D36" s="610">
        <v>2674140707</v>
      </c>
      <c r="E36" s="610">
        <v>3910421841.4967999</v>
      </c>
      <c r="F36" s="610">
        <v>3130942159</v>
      </c>
      <c r="G36" s="610">
        <v>4063950589</v>
      </c>
      <c r="H36" s="610">
        <v>44923434079.716698</v>
      </c>
      <c r="I36" s="610">
        <v>78626351098.838699</v>
      </c>
      <c r="J36" s="619">
        <v>61503849577.959579</v>
      </c>
      <c r="K36" s="130"/>
      <c r="L36" s="129"/>
    </row>
    <row r="37" spans="1:22" x14ac:dyDescent="0.3">
      <c r="A37" s="88" t="s">
        <v>94</v>
      </c>
      <c r="B37" s="115">
        <f>SUM(B28:B36)</f>
        <v>90700749504.700012</v>
      </c>
      <c r="C37" s="116">
        <f t="shared" ref="C37:J37" si="5">SUM(C28:C36)</f>
        <v>96278658955.75206</v>
      </c>
      <c r="D37" s="116">
        <f t="shared" si="5"/>
        <v>111655523065.04213</v>
      </c>
      <c r="E37" s="116">
        <f t="shared" si="5"/>
        <v>131650208371.27551</v>
      </c>
      <c r="F37" s="116">
        <f t="shared" si="5"/>
        <v>170864481129.81006</v>
      </c>
      <c r="G37" s="116">
        <f t="shared" si="5"/>
        <v>177514342263.75906</v>
      </c>
      <c r="H37" s="116">
        <f t="shared" si="5"/>
        <v>227009055697.62671</v>
      </c>
      <c r="I37" s="116">
        <f t="shared" si="5"/>
        <v>242599363300.87872</v>
      </c>
      <c r="J37" s="615">
        <f t="shared" si="5"/>
        <v>245919471020.87958</v>
      </c>
      <c r="K37" s="123"/>
      <c r="L37" s="129"/>
    </row>
    <row r="38" spans="1:22" x14ac:dyDescent="0.3">
      <c r="A38" s="75" t="s">
        <v>1241</v>
      </c>
      <c r="B38" s="120">
        <v>102728000000</v>
      </c>
      <c r="C38" s="113">
        <v>106493000000</v>
      </c>
      <c r="D38" s="113">
        <v>123093000000</v>
      </c>
      <c r="E38" s="113">
        <v>145191000000</v>
      </c>
      <c r="F38" s="113">
        <v>181230000000</v>
      </c>
      <c r="G38" s="113">
        <v>187308000000</v>
      </c>
      <c r="H38" s="113">
        <v>239818000000</v>
      </c>
      <c r="I38" s="113">
        <v>260575000000</v>
      </c>
      <c r="J38" s="611">
        <v>262993000000</v>
      </c>
      <c r="K38" s="123"/>
      <c r="L38" s="129"/>
    </row>
    <row r="39" spans="1:22" x14ac:dyDescent="0.3">
      <c r="A39" s="75" t="s">
        <v>95</v>
      </c>
      <c r="B39" s="117">
        <f t="shared" ref="B39:J39" si="6">B37/B38</f>
        <v>0.88292139927478397</v>
      </c>
      <c r="C39" s="118">
        <f t="shared" si="6"/>
        <v>0.90408439010781982</v>
      </c>
      <c r="D39" s="118">
        <f t="shared" si="6"/>
        <v>0.90708263723397864</v>
      </c>
      <c r="E39" s="118">
        <f t="shared" si="6"/>
        <v>0.90673807860869826</v>
      </c>
      <c r="F39" s="118">
        <f t="shared" si="6"/>
        <v>0.94280461915692804</v>
      </c>
      <c r="G39" s="119">
        <f t="shared" si="6"/>
        <v>0.94771361748435234</v>
      </c>
      <c r="H39" s="119">
        <f t="shared" si="6"/>
        <v>0.94658889531906154</v>
      </c>
      <c r="I39" s="119">
        <f t="shared" si="6"/>
        <v>0.93101549765280134</v>
      </c>
      <c r="J39" s="616">
        <f t="shared" si="6"/>
        <v>0.93507991095154464</v>
      </c>
    </row>
    <row r="40" spans="1:22" x14ac:dyDescent="0.3">
      <c r="A40" s="75" t="s">
        <v>97</v>
      </c>
      <c r="B40" s="120">
        <v>166576507214</v>
      </c>
      <c r="C40" s="113">
        <v>176569739078</v>
      </c>
      <c r="D40" s="113">
        <v>214414259777</v>
      </c>
      <c r="E40" s="113">
        <v>256012642221</v>
      </c>
      <c r="F40" s="113">
        <v>295348808498.38318</v>
      </c>
      <c r="G40" s="113">
        <v>278232665525.10504</v>
      </c>
      <c r="H40" s="113">
        <v>359899838478.37012</v>
      </c>
      <c r="I40" s="113">
        <v>473016164950.17798</v>
      </c>
      <c r="J40" s="611">
        <v>436412442273.21698</v>
      </c>
      <c r="L40" s="123"/>
      <c r="M40" s="129"/>
    </row>
    <row r="41" spans="1:22" ht="15" thickBot="1" x14ac:dyDescent="0.35">
      <c r="A41" s="617" t="s">
        <v>98</v>
      </c>
      <c r="B41" s="131">
        <f>B37/B40</f>
        <v>0.54449904744477096</v>
      </c>
      <c r="C41" s="132">
        <f t="shared" ref="C41:J41" si="7">C37/C40</f>
        <v>0.54527270334369582</v>
      </c>
      <c r="D41" s="132">
        <f t="shared" si="7"/>
        <v>0.52074672263481281</v>
      </c>
      <c r="E41" s="132">
        <f t="shared" si="7"/>
        <v>0.51423323172310365</v>
      </c>
      <c r="F41" s="132">
        <f t="shared" si="7"/>
        <v>0.57851759077181253</v>
      </c>
      <c r="G41" s="132">
        <f t="shared" si="7"/>
        <v>0.63800683477886555</v>
      </c>
      <c r="H41" s="132">
        <f t="shared" si="7"/>
        <v>0.63075620332980475</v>
      </c>
      <c r="I41" s="132">
        <f t="shared" si="7"/>
        <v>0.51287753205311981</v>
      </c>
      <c r="J41" s="621">
        <f t="shared" si="7"/>
        <v>0.56350242843654108</v>
      </c>
      <c r="L41" s="123"/>
      <c r="M41" s="129"/>
    </row>
    <row r="42" spans="1:22" x14ac:dyDescent="0.3">
      <c r="A42" s="65"/>
      <c r="B42" s="133"/>
      <c r="C42" s="133"/>
      <c r="D42" s="133"/>
      <c r="E42" s="133"/>
      <c r="F42" s="133"/>
      <c r="G42" s="133"/>
      <c r="H42" s="133"/>
      <c r="I42" s="133"/>
      <c r="J42" s="62"/>
      <c r="K42" s="123"/>
      <c r="L42" s="129"/>
    </row>
    <row r="43" spans="1:22" x14ac:dyDescent="0.3">
      <c r="A43" s="134"/>
      <c r="B43" s="135"/>
      <c r="C43" s="135"/>
      <c r="D43" s="62"/>
      <c r="E43" s="62"/>
      <c r="F43" s="62"/>
      <c r="G43" s="62"/>
      <c r="H43" s="62"/>
      <c r="I43" s="62"/>
      <c r="K43" s="123"/>
      <c r="L43" s="136"/>
    </row>
    <row r="44" spans="1:22" x14ac:dyDescent="0.3">
      <c r="A44" s="65"/>
      <c r="B44" s="135"/>
      <c r="C44" s="135"/>
      <c r="D44" s="62"/>
      <c r="E44" s="62"/>
      <c r="F44" s="62"/>
      <c r="G44" s="62"/>
      <c r="H44" s="62"/>
      <c r="I44" s="62"/>
      <c r="K44" s="123"/>
      <c r="L44" s="136"/>
    </row>
    <row r="45" spans="1:22" x14ac:dyDescent="0.3">
      <c r="A45" s="65"/>
      <c r="B45" s="135"/>
      <c r="C45" s="135"/>
      <c r="D45" s="62"/>
      <c r="E45" s="62"/>
      <c r="F45" s="62"/>
      <c r="G45" s="62"/>
      <c r="H45" s="62"/>
      <c r="I45" s="62"/>
    </row>
    <row r="46" spans="1:22" x14ac:dyDescent="0.3">
      <c r="B46" s="135"/>
      <c r="C46" s="135"/>
      <c r="D46" s="62"/>
      <c r="E46" s="62"/>
      <c r="F46" s="62"/>
      <c r="G46" s="62"/>
      <c r="H46" s="62"/>
      <c r="I46" s="62"/>
    </row>
    <row r="47" spans="1:22" x14ac:dyDescent="0.3">
      <c r="B47" s="137"/>
      <c r="C47" s="137"/>
      <c r="D47" s="62"/>
      <c r="E47" s="62"/>
      <c r="F47" s="62"/>
      <c r="G47" s="62"/>
      <c r="H47" s="62"/>
      <c r="I47" s="62"/>
    </row>
    <row r="48" spans="1:22" x14ac:dyDescent="0.3">
      <c r="B48" s="138"/>
      <c r="C48" s="138"/>
      <c r="D48" s="62"/>
      <c r="E48" s="62"/>
      <c r="F48" s="62"/>
      <c r="G48" s="62"/>
      <c r="H48" s="62"/>
      <c r="I48" s="62"/>
    </row>
    <row r="49" spans="2:9" x14ac:dyDescent="0.3">
      <c r="B49" s="135"/>
      <c r="C49" s="135"/>
      <c r="D49" s="62"/>
      <c r="E49" s="62"/>
      <c r="F49" s="62"/>
      <c r="G49" s="62"/>
      <c r="H49" s="62"/>
      <c r="I49" s="62"/>
    </row>
    <row r="50" spans="2:9" x14ac:dyDescent="0.3">
      <c r="B50" s="135"/>
      <c r="C50" s="135"/>
      <c r="D50" s="62"/>
      <c r="E50" s="62"/>
      <c r="F50" s="62"/>
      <c r="G50" s="62"/>
      <c r="H50" s="62"/>
      <c r="I50" s="62"/>
    </row>
    <row r="51" spans="2:9" x14ac:dyDescent="0.3">
      <c r="B51" s="139"/>
      <c r="C51" s="139"/>
      <c r="D51" s="140"/>
      <c r="E51" s="140"/>
      <c r="F51" s="140"/>
      <c r="G51" s="140"/>
      <c r="H51" s="140"/>
      <c r="I51" s="140"/>
    </row>
    <row r="52" spans="2:9" x14ac:dyDescent="0.3">
      <c r="B52" s="139"/>
      <c r="C52" s="139"/>
      <c r="D52" s="140"/>
      <c r="E52" s="140"/>
      <c r="F52" s="140"/>
      <c r="G52" s="140"/>
      <c r="H52" s="140"/>
      <c r="I52" s="140"/>
    </row>
    <row r="53" spans="2:9" x14ac:dyDescent="0.3">
      <c r="D53" s="62"/>
      <c r="E53" s="62"/>
      <c r="F53" s="62"/>
      <c r="G53" s="62"/>
      <c r="H53" s="62"/>
      <c r="I53" s="62"/>
    </row>
    <row r="54" spans="2:9" x14ac:dyDescent="0.3">
      <c r="B54" s="140"/>
      <c r="C54" s="140"/>
      <c r="D54" s="141"/>
      <c r="E54" s="141"/>
      <c r="F54" s="141"/>
      <c r="G54" s="141"/>
      <c r="H54" s="141"/>
      <c r="I54" s="141"/>
    </row>
    <row r="55" spans="2:9" x14ac:dyDescent="0.3">
      <c r="B55" s="140"/>
      <c r="C55" s="140"/>
      <c r="D55" s="141"/>
      <c r="E55" s="141"/>
      <c r="F55" s="141"/>
      <c r="G55" s="141"/>
      <c r="H55" s="141"/>
      <c r="I55" s="141"/>
    </row>
    <row r="56" spans="2:9" x14ac:dyDescent="0.3">
      <c r="B56" s="138"/>
      <c r="C56" s="138"/>
      <c r="D56" s="62"/>
      <c r="E56" s="62"/>
      <c r="F56" s="62"/>
      <c r="G56" s="62"/>
      <c r="H56" s="62"/>
      <c r="I56" s="62"/>
    </row>
    <row r="57" spans="2:9" x14ac:dyDescent="0.3">
      <c r="B57" s="138"/>
      <c r="C57" s="138"/>
      <c r="D57" s="62"/>
      <c r="E57" s="62"/>
      <c r="F57" s="62"/>
      <c r="G57" s="62"/>
      <c r="H57" s="62"/>
      <c r="I57" s="62"/>
    </row>
    <row r="58" spans="2:9" x14ac:dyDescent="0.3">
      <c r="B58" s="138"/>
      <c r="C58" s="138"/>
      <c r="D58" s="62"/>
      <c r="E58" s="62"/>
      <c r="F58" s="62"/>
      <c r="G58" s="62"/>
      <c r="H58" s="62"/>
      <c r="I58" s="62"/>
    </row>
    <row r="59" spans="2:9" x14ac:dyDescent="0.3">
      <c r="B59" s="138"/>
      <c r="C59" s="138"/>
      <c r="D59" s="62"/>
      <c r="E59" s="62"/>
      <c r="F59" s="62"/>
      <c r="G59" s="62"/>
      <c r="H59" s="62"/>
      <c r="I59" s="62"/>
    </row>
    <row r="60" spans="2:9" x14ac:dyDescent="0.3">
      <c r="B60" s="138"/>
      <c r="C60" s="138"/>
      <c r="D60" s="62"/>
      <c r="E60" s="62"/>
      <c r="F60" s="62"/>
      <c r="G60" s="62"/>
      <c r="H60" s="62"/>
      <c r="I60" s="62"/>
    </row>
    <row r="61" spans="2:9" x14ac:dyDescent="0.3">
      <c r="B61" s="138"/>
      <c r="C61" s="138"/>
      <c r="D61" s="62"/>
      <c r="E61" s="62"/>
      <c r="F61" s="62"/>
      <c r="G61" s="62"/>
      <c r="H61" s="62"/>
      <c r="I61" s="62"/>
    </row>
    <row r="62" spans="2:9" x14ac:dyDescent="0.3">
      <c r="B62" s="138"/>
      <c r="C62" s="138"/>
      <c r="D62" s="62"/>
      <c r="E62" s="62"/>
      <c r="F62" s="62"/>
      <c r="G62" s="62"/>
      <c r="H62" s="62"/>
      <c r="I62" s="62"/>
    </row>
    <row r="63" spans="2:9" x14ac:dyDescent="0.3">
      <c r="B63" s="138"/>
      <c r="C63" s="138"/>
      <c r="D63" s="62"/>
      <c r="E63" s="62"/>
      <c r="F63" s="62"/>
      <c r="G63" s="62"/>
      <c r="H63" s="62"/>
      <c r="I63" s="62"/>
    </row>
    <row r="64" spans="2:9" x14ac:dyDescent="0.3">
      <c r="B64" s="138"/>
      <c r="C64" s="138"/>
      <c r="D64" s="62"/>
      <c r="E64" s="62"/>
      <c r="F64" s="62"/>
      <c r="G64" s="62"/>
      <c r="H64" s="62"/>
      <c r="I64" s="62"/>
    </row>
    <row r="65" spans="2:9" x14ac:dyDescent="0.3">
      <c r="B65" s="142"/>
      <c r="C65" s="142"/>
      <c r="D65" s="140"/>
      <c r="E65" s="140"/>
      <c r="F65" s="140"/>
      <c r="G65" s="140"/>
      <c r="H65" s="140"/>
      <c r="I65" s="140"/>
    </row>
    <row r="66" spans="2:9" x14ac:dyDescent="0.3">
      <c r="B66" s="142"/>
      <c r="C66" s="142"/>
      <c r="D66" s="140"/>
      <c r="E66" s="140"/>
      <c r="F66" s="140"/>
      <c r="G66" s="140"/>
      <c r="H66" s="140"/>
      <c r="I66" s="140"/>
    </row>
    <row r="68" spans="2:9" x14ac:dyDescent="0.3">
      <c r="B68" s="135"/>
      <c r="C68" s="135"/>
      <c r="D68" s="135"/>
      <c r="E68" s="135"/>
      <c r="F68" s="135"/>
      <c r="G68" s="135"/>
      <c r="H68" s="135"/>
      <c r="I68" s="135"/>
    </row>
    <row r="69" spans="2:9" x14ac:dyDescent="0.3">
      <c r="B69" s="135"/>
      <c r="C69" s="135"/>
      <c r="D69" s="135"/>
      <c r="E69" s="135"/>
      <c r="F69" s="135"/>
      <c r="G69" s="135"/>
      <c r="H69" s="135"/>
      <c r="I69" s="135"/>
    </row>
    <row r="70" spans="2:9" x14ac:dyDescent="0.3">
      <c r="B70" s="135"/>
      <c r="C70" s="135"/>
      <c r="D70" s="135"/>
      <c r="E70" s="135"/>
      <c r="F70" s="135"/>
      <c r="G70" s="135"/>
      <c r="H70" s="135"/>
      <c r="I70" s="135"/>
    </row>
    <row r="71" spans="2:9" x14ac:dyDescent="0.3">
      <c r="B71" s="135"/>
      <c r="C71" s="135"/>
      <c r="D71" s="135"/>
      <c r="E71" s="135"/>
      <c r="F71" s="135"/>
      <c r="G71" s="135"/>
      <c r="H71" s="135"/>
      <c r="I71" s="135"/>
    </row>
    <row r="72" spans="2:9" x14ac:dyDescent="0.3">
      <c r="B72" s="135"/>
      <c r="C72" s="135"/>
      <c r="D72" s="135"/>
      <c r="E72" s="135"/>
      <c r="F72" s="135"/>
      <c r="G72" s="135"/>
      <c r="H72" s="135"/>
      <c r="I72" s="135"/>
    </row>
    <row r="73" spans="2:9" x14ac:dyDescent="0.3">
      <c r="B73" s="135"/>
      <c r="C73" s="135"/>
      <c r="D73" s="135"/>
      <c r="E73" s="135"/>
      <c r="F73" s="135"/>
      <c r="G73" s="135"/>
      <c r="H73" s="135"/>
      <c r="I73" s="135"/>
    </row>
    <row r="74" spans="2:9" x14ac:dyDescent="0.3">
      <c r="B74" s="135"/>
      <c r="C74" s="135"/>
      <c r="D74" s="135"/>
      <c r="E74" s="135"/>
      <c r="F74" s="135"/>
      <c r="G74" s="135"/>
      <c r="H74" s="135"/>
      <c r="I74" s="135"/>
    </row>
    <row r="75" spans="2:9" x14ac:dyDescent="0.3">
      <c r="B75" s="135"/>
      <c r="C75" s="135"/>
      <c r="D75" s="135"/>
      <c r="E75" s="135"/>
      <c r="F75" s="135"/>
      <c r="G75" s="135"/>
      <c r="H75" s="135"/>
      <c r="I75" s="135"/>
    </row>
    <row r="76" spans="2:9" x14ac:dyDescent="0.3">
      <c r="B76" s="135"/>
      <c r="C76" s="135"/>
      <c r="D76" s="135"/>
      <c r="E76" s="135"/>
      <c r="F76" s="135"/>
      <c r="G76" s="135"/>
      <c r="H76" s="135"/>
      <c r="I76" s="135"/>
    </row>
    <row r="77" spans="2:9" x14ac:dyDescent="0.3">
      <c r="B77" s="135"/>
      <c r="C77" s="135"/>
      <c r="D77" s="135"/>
      <c r="E77" s="135"/>
      <c r="F77" s="135"/>
      <c r="G77" s="135"/>
      <c r="H77" s="135"/>
      <c r="I77" s="135"/>
    </row>
    <row r="78" spans="2:9" x14ac:dyDescent="0.3">
      <c r="B78" s="135"/>
      <c r="C78" s="135"/>
      <c r="D78" s="135"/>
      <c r="E78" s="135"/>
      <c r="F78" s="135"/>
      <c r="G78" s="135"/>
      <c r="H78" s="135"/>
      <c r="I78" s="135"/>
    </row>
    <row r="79" spans="2:9" x14ac:dyDescent="0.3">
      <c r="B79" s="135"/>
      <c r="C79" s="135"/>
      <c r="D79" s="135"/>
      <c r="E79" s="135"/>
      <c r="F79" s="135"/>
      <c r="G79" s="135"/>
      <c r="H79" s="135"/>
      <c r="I79" s="135"/>
    </row>
    <row r="80" spans="2:9" x14ac:dyDescent="0.3">
      <c r="B80" s="135"/>
      <c r="C80" s="135"/>
      <c r="D80" s="135"/>
      <c r="E80" s="135"/>
      <c r="F80" s="135"/>
      <c r="G80" s="135"/>
      <c r="H80" s="135"/>
      <c r="I80" s="135"/>
    </row>
    <row r="81" spans="2:9" x14ac:dyDescent="0.3">
      <c r="B81" s="135"/>
      <c r="C81" s="135"/>
      <c r="D81" s="135"/>
      <c r="E81" s="135"/>
      <c r="F81" s="135"/>
      <c r="G81" s="135"/>
      <c r="H81" s="135"/>
      <c r="I81" s="135"/>
    </row>
    <row r="82" spans="2:9" x14ac:dyDescent="0.3">
      <c r="B82" s="135"/>
      <c r="C82" s="135"/>
      <c r="D82" s="135"/>
      <c r="E82" s="135"/>
      <c r="F82" s="135"/>
      <c r="G82" s="135"/>
      <c r="H82" s="135"/>
      <c r="I82" s="135"/>
    </row>
    <row r="83" spans="2:9" x14ac:dyDescent="0.3">
      <c r="B83" s="135"/>
      <c r="C83" s="135"/>
      <c r="D83" s="135"/>
      <c r="E83" s="135"/>
      <c r="F83" s="135"/>
      <c r="G83" s="135"/>
      <c r="H83" s="135"/>
      <c r="I83" s="135"/>
    </row>
    <row r="84" spans="2:9" x14ac:dyDescent="0.3">
      <c r="B84" s="135"/>
      <c r="C84" s="135"/>
      <c r="D84" s="135"/>
      <c r="E84" s="135"/>
      <c r="F84" s="135"/>
      <c r="G84" s="135"/>
      <c r="H84" s="135"/>
      <c r="I84" s="135"/>
    </row>
    <row r="85" spans="2:9" x14ac:dyDescent="0.3">
      <c r="B85" s="135"/>
      <c r="C85" s="135"/>
      <c r="D85" s="135"/>
      <c r="E85" s="135"/>
      <c r="F85" s="135"/>
      <c r="G85" s="135"/>
      <c r="H85" s="135"/>
      <c r="I85" s="135"/>
    </row>
    <row r="86" spans="2:9" x14ac:dyDescent="0.3">
      <c r="B86" s="135"/>
      <c r="C86" s="135"/>
      <c r="D86" s="135"/>
      <c r="E86" s="135"/>
      <c r="F86" s="135"/>
      <c r="G86" s="135"/>
      <c r="H86" s="135"/>
      <c r="I86" s="135"/>
    </row>
    <row r="87" spans="2:9" x14ac:dyDescent="0.3">
      <c r="B87" s="135"/>
      <c r="C87" s="135"/>
      <c r="D87" s="135"/>
      <c r="E87" s="135"/>
      <c r="F87" s="135"/>
      <c r="G87" s="135"/>
      <c r="H87" s="135"/>
      <c r="I87" s="135"/>
    </row>
    <row r="88" spans="2:9" x14ac:dyDescent="0.3">
      <c r="B88" s="135"/>
      <c r="C88" s="135"/>
      <c r="D88" s="135"/>
      <c r="E88" s="135"/>
      <c r="F88" s="135"/>
      <c r="G88" s="135"/>
      <c r="H88" s="135"/>
      <c r="I88" s="135"/>
    </row>
    <row r="89" spans="2:9" x14ac:dyDescent="0.3">
      <c r="B89" s="135"/>
      <c r="C89" s="135"/>
      <c r="D89" s="135"/>
      <c r="E89" s="135"/>
      <c r="F89" s="135"/>
      <c r="G89" s="135"/>
      <c r="H89" s="135"/>
      <c r="I89" s="135"/>
    </row>
    <row r="90" spans="2:9" x14ac:dyDescent="0.3">
      <c r="B90" s="135"/>
      <c r="C90" s="135"/>
      <c r="D90" s="135"/>
      <c r="E90" s="135"/>
      <c r="F90" s="135"/>
      <c r="G90" s="135"/>
      <c r="H90" s="135"/>
      <c r="I90" s="135"/>
    </row>
    <row r="91" spans="2:9" x14ac:dyDescent="0.3">
      <c r="B91" s="135"/>
      <c r="C91" s="135"/>
      <c r="D91" s="135"/>
      <c r="E91" s="135"/>
      <c r="F91" s="135"/>
      <c r="G91" s="135"/>
      <c r="H91" s="135"/>
      <c r="I91" s="135"/>
    </row>
  </sheetData>
  <mergeCells count="3">
    <mergeCell ref="K30:K31"/>
    <mergeCell ref="A8:A9"/>
    <mergeCell ref="A26:A27"/>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F56E9-B10E-40FA-9D79-4F146AF031DF}">
  <sheetPr codeName="Sheet8"/>
  <dimension ref="A1:AM507"/>
  <sheetViews>
    <sheetView showGridLines="0" topLeftCell="B1" zoomScale="85" zoomScaleNormal="85" workbookViewId="0">
      <selection activeCell="B1" sqref="B1"/>
    </sheetView>
  </sheetViews>
  <sheetFormatPr defaultColWidth="9.109375" defaultRowHeight="14.4" x14ac:dyDescent="0.3"/>
  <cols>
    <col min="1" max="1" width="5.88671875" hidden="1" customWidth="1"/>
    <col min="2" max="2" width="11.88671875" bestFit="1" customWidth="1"/>
    <col min="3" max="3" width="17.33203125" bestFit="1" customWidth="1"/>
    <col min="4" max="4" width="16.33203125" customWidth="1"/>
    <col min="5" max="5" width="17.88671875" bestFit="1" customWidth="1"/>
    <col min="6" max="6" width="15.5546875" customWidth="1"/>
    <col min="7" max="7" width="17.33203125" customWidth="1"/>
    <col min="8" max="8" width="17.109375" customWidth="1"/>
    <col min="9" max="9" width="3.44140625" customWidth="1"/>
    <col min="10" max="10" width="4" customWidth="1"/>
    <col min="11" max="11" width="10.6640625" bestFit="1" customWidth="1"/>
    <col min="12" max="12" width="17.33203125" bestFit="1" customWidth="1"/>
    <col min="13" max="13" width="15.44140625" bestFit="1" customWidth="1"/>
    <col min="14" max="14" width="17.88671875" bestFit="1" customWidth="1"/>
    <col min="15" max="15" width="17.33203125" customWidth="1"/>
    <col min="16" max="16" width="11.88671875" hidden="1" customWidth="1"/>
    <col min="17" max="17" width="19.33203125" customWidth="1"/>
    <col min="18" max="18" width="11" customWidth="1"/>
    <col min="19" max="19" width="17.33203125" bestFit="1" customWidth="1"/>
    <col min="20" max="20" width="15.44140625" bestFit="1" customWidth="1"/>
    <col min="21" max="21" width="17.88671875" bestFit="1" customWidth="1"/>
    <col min="22" max="22" width="14.88671875" customWidth="1"/>
    <col min="23" max="23" width="17.33203125" bestFit="1" customWidth="1"/>
    <col min="24" max="24" width="22" hidden="1" customWidth="1"/>
    <col min="25" max="25" width="21.109375" customWidth="1"/>
  </cols>
  <sheetData>
    <row r="1" spans="1:39" x14ac:dyDescent="0.3">
      <c r="K1" s="143"/>
    </row>
    <row r="2" spans="1:39" x14ac:dyDescent="0.3">
      <c r="K2" s="143"/>
    </row>
    <row r="3" spans="1:39" x14ac:dyDescent="0.3">
      <c r="K3" s="3"/>
    </row>
    <row r="4" spans="1:39" x14ac:dyDescent="0.3">
      <c r="K4" s="3"/>
    </row>
    <row r="6" spans="1:39" ht="15" thickBot="1" x14ac:dyDescent="0.35">
      <c r="A6" s="635" t="s">
        <v>8</v>
      </c>
      <c r="B6" s="635"/>
      <c r="C6" s="635"/>
      <c r="D6" s="635"/>
      <c r="E6" s="635"/>
      <c r="F6" s="635"/>
      <c r="G6" s="635"/>
      <c r="H6" s="635"/>
      <c r="K6" s="636" t="s">
        <v>111</v>
      </c>
      <c r="L6" s="636"/>
      <c r="M6" s="636"/>
      <c r="N6" s="636"/>
      <c r="O6" s="636"/>
      <c r="P6" s="636"/>
      <c r="Q6" s="636"/>
      <c r="S6" s="636" t="s">
        <v>72</v>
      </c>
      <c r="T6" s="636"/>
      <c r="U6" s="636"/>
      <c r="V6" s="636"/>
      <c r="W6" s="636"/>
      <c r="X6" s="636"/>
      <c r="Y6" s="636"/>
    </row>
    <row r="7" spans="1:39" ht="72" x14ac:dyDescent="0.3">
      <c r="B7" s="144" t="s">
        <v>112</v>
      </c>
      <c r="C7" s="11" t="s">
        <v>74</v>
      </c>
      <c r="D7" s="12" t="s">
        <v>78</v>
      </c>
      <c r="E7" s="12" t="s">
        <v>79</v>
      </c>
      <c r="F7" s="12" t="s">
        <v>98</v>
      </c>
      <c r="G7" s="12" t="s">
        <v>113</v>
      </c>
      <c r="H7" s="13" t="s">
        <v>114</v>
      </c>
      <c r="I7" s="14"/>
      <c r="J7" s="15"/>
      <c r="K7" s="16" t="s">
        <v>73</v>
      </c>
      <c r="L7" s="12" t="s">
        <v>683</v>
      </c>
      <c r="M7" s="12" t="s">
        <v>686</v>
      </c>
      <c r="N7" s="12" t="s">
        <v>75</v>
      </c>
      <c r="O7" s="12" t="s">
        <v>98</v>
      </c>
      <c r="P7" s="12" t="s">
        <v>113</v>
      </c>
      <c r="Q7" s="13" t="s">
        <v>114</v>
      </c>
      <c r="R7" s="145"/>
      <c r="S7" s="16" t="s">
        <v>73</v>
      </c>
      <c r="T7" s="12" t="s">
        <v>683</v>
      </c>
      <c r="U7" s="12" t="s">
        <v>686</v>
      </c>
      <c r="V7" s="12" t="s">
        <v>75</v>
      </c>
      <c r="W7" s="146" t="s">
        <v>98</v>
      </c>
      <c r="X7" s="12" t="s">
        <v>113</v>
      </c>
      <c r="Y7" s="13" t="s">
        <v>114</v>
      </c>
      <c r="Z7" s="15"/>
      <c r="AA7" s="15"/>
      <c r="AB7" s="15"/>
      <c r="AC7" s="15"/>
      <c r="AD7" s="15"/>
      <c r="AE7" s="15"/>
      <c r="AF7" s="15"/>
      <c r="AG7" s="15"/>
      <c r="AH7" s="15"/>
      <c r="AI7" s="15"/>
      <c r="AJ7" s="15"/>
      <c r="AK7" s="15"/>
      <c r="AL7" s="15"/>
      <c r="AM7" s="15"/>
    </row>
    <row r="8" spans="1:39" x14ac:dyDescent="0.3">
      <c r="A8">
        <f>YEAR(B8)</f>
        <v>1989</v>
      </c>
      <c r="B8" s="29">
        <v>32660</v>
      </c>
      <c r="C8" s="18">
        <v>527</v>
      </c>
      <c r="D8" s="18">
        <v>479</v>
      </c>
      <c r="E8" s="19">
        <v>1006</v>
      </c>
      <c r="F8" s="20">
        <f t="shared" ref="F8:F71" si="0">C8/E8</f>
        <v>0.52385685884691846</v>
      </c>
      <c r="G8" s="21">
        <v>1370</v>
      </c>
      <c r="H8" s="22">
        <f t="shared" ref="H8:H71" si="1">IFERROR(C8/G8,"n/a")</f>
        <v>0.38467153284671535</v>
      </c>
      <c r="I8" s="14"/>
      <c r="K8" s="23">
        <f t="shared" ref="K8:K16" si="2">K9-1</f>
        <v>2014</v>
      </c>
      <c r="L8" s="41">
        <f t="shared" ref="L8:L17" si="3">SUMIF($A$8:$A$507,$K8,C$8:C$510)</f>
        <v>46211</v>
      </c>
      <c r="M8" s="42">
        <f t="shared" ref="M8:M17" si="4">N8-L8</f>
        <v>37335</v>
      </c>
      <c r="N8" s="42">
        <f t="shared" ref="N8:N17" si="5">SUMIF($A$8:$A$507,$K8,E$8:E$510)</f>
        <v>83546</v>
      </c>
      <c r="O8" s="147">
        <f t="shared" ref="O8:O17" si="6">L8/N8</f>
        <v>0.55312043664568022</v>
      </c>
      <c r="P8" s="44">
        <f t="shared" ref="P8:P17" si="7">SUMIF($A$8:$A$507,$K8,G$8:G$510)</f>
        <v>56931</v>
      </c>
      <c r="Q8" s="27">
        <f>L8/P8</f>
        <v>0.81170188473766491</v>
      </c>
      <c r="R8" s="126"/>
      <c r="S8" s="23" t="str">
        <f>LEFT(S9, 4)-1 &amp; "-" &amp; RIGHT(LEFT(S9, 4), 2)</f>
        <v>2014-15</v>
      </c>
      <c r="T8" s="148">
        <f>SUMIFS(C:C, $B:$B, "&gt;=" &amp; DATE(LEFT($S8, 4), 7, 1), $B:$B, "&lt;" &amp; DATE(LEFT($S8, 4)+1, 7, 1))</f>
        <v>45990</v>
      </c>
      <c r="U8" s="149">
        <f>SUMIFS(D:D, $B:$B, "&gt;=" &amp; DATE(LEFT($S8, 4), 7, 1), $B:$B, "&lt;" &amp; DATE(LEFT($S8, 4)+1, 7, 1))</f>
        <v>30127</v>
      </c>
      <c r="V8" s="149">
        <f>SUMIFS(E:E, $B:$B, "&gt;=" &amp; DATE(LEFT($S8, 4), 7, 1), $B:$B, "&lt;" &amp; DATE(LEFT($S8, 4)+1, 7, 1))</f>
        <v>76117</v>
      </c>
      <c r="W8" s="150">
        <f t="shared" ref="W8:W17" si="8">T8/V8</f>
        <v>0.60420142675092292</v>
      </c>
      <c r="X8" s="151">
        <f>SUMIFS(G:G, $B:$B, "&gt;=" &amp; DATE(LEFT($S8, 4), 7, 1), $B:$B, "&lt;" &amp; DATE(LEFT($S8, 4)+1, 7, 1))</f>
        <v>56228</v>
      </c>
      <c r="Y8" s="152">
        <f t="shared" ref="Y8:Y17" si="9">T8/X8</f>
        <v>0.81791989755993455</v>
      </c>
      <c r="AC8" s="28"/>
      <c r="AD8" s="28"/>
      <c r="AE8" s="28"/>
      <c r="AF8" s="28"/>
    </row>
    <row r="9" spans="1:39" x14ac:dyDescent="0.3">
      <c r="A9">
        <f t="shared" ref="A9:A72" si="10">YEAR(B9)</f>
        <v>1989</v>
      </c>
      <c r="B9" s="29">
        <v>32752</v>
      </c>
      <c r="C9" s="30">
        <v>594</v>
      </c>
      <c r="D9" s="30">
        <v>452</v>
      </c>
      <c r="E9" s="31">
        <v>1046</v>
      </c>
      <c r="F9" s="32">
        <f t="shared" si="0"/>
        <v>0.56787762906309747</v>
      </c>
      <c r="G9" s="33">
        <v>1597</v>
      </c>
      <c r="H9" s="34">
        <f t="shared" si="1"/>
        <v>0.37194740137758298</v>
      </c>
      <c r="I9" s="14"/>
      <c r="K9" s="35">
        <f t="shared" si="2"/>
        <v>2015</v>
      </c>
      <c r="L9" s="36">
        <f t="shared" si="3"/>
        <v>42384</v>
      </c>
      <c r="M9" s="37">
        <f t="shared" si="4"/>
        <v>22784</v>
      </c>
      <c r="N9" s="37">
        <f t="shared" si="5"/>
        <v>65168</v>
      </c>
      <c r="O9" s="153">
        <f t="shared" si="6"/>
        <v>0.65038055487355761</v>
      </c>
      <c r="P9" s="39">
        <f t="shared" si="7"/>
        <v>51869</v>
      </c>
      <c r="Q9" s="40">
        <f t="shared" ref="Q9:Q17" si="11">L9/P9</f>
        <v>0.81713547591046676</v>
      </c>
      <c r="R9" s="126"/>
      <c r="S9" s="35" t="str">
        <f t="shared" ref="S9:S16" si="12">LEFT(S10, 4)-1 &amp; "-" &amp; RIGHT(LEFT(S10, 4), 2)</f>
        <v>2015-16</v>
      </c>
      <c r="T9" s="36">
        <f t="shared" ref="T9:V17" si="13">SUMIFS(C:C, $B:$B, "&gt;=" &amp; DATE(LEFT($S9, 4), 7, 1), $B:$B, "&lt;" &amp; DATE(LEFT($S9, 4)+1, 7, 1))</f>
        <v>35211</v>
      </c>
      <c r="U9" s="37">
        <f t="shared" si="13"/>
        <v>18178</v>
      </c>
      <c r="V9" s="37">
        <f t="shared" si="13"/>
        <v>53389</v>
      </c>
      <c r="W9" s="38">
        <f t="shared" si="8"/>
        <v>0.6595178782146135</v>
      </c>
      <c r="X9" s="39">
        <f t="shared" ref="X9:X17" si="14">SUMIFS(G:G, $B:$B, "&gt;=" &amp; DATE(LEFT($S9, 4), 7, 1), $B:$B, "&lt;" &amp; DATE(LEFT($S9, 4)+1, 7, 1))</f>
        <v>44142</v>
      </c>
      <c r="Y9" s="40">
        <f t="shared" si="9"/>
        <v>0.79767568302297132</v>
      </c>
      <c r="AC9" s="28"/>
      <c r="AD9" s="28"/>
      <c r="AE9" s="28"/>
      <c r="AF9" s="28"/>
    </row>
    <row r="10" spans="1:39" x14ac:dyDescent="0.3">
      <c r="A10">
        <f t="shared" si="10"/>
        <v>1989</v>
      </c>
      <c r="B10" s="29">
        <v>32843</v>
      </c>
      <c r="C10" s="18">
        <v>576</v>
      </c>
      <c r="D10" s="18">
        <v>548</v>
      </c>
      <c r="E10" s="19">
        <v>1124</v>
      </c>
      <c r="F10" s="20">
        <f t="shared" si="0"/>
        <v>0.51245551601423489</v>
      </c>
      <c r="G10" s="21">
        <v>1257</v>
      </c>
      <c r="H10" s="22">
        <f t="shared" si="1"/>
        <v>0.45823389021479716</v>
      </c>
      <c r="I10" s="14"/>
      <c r="K10" s="23">
        <f t="shared" si="2"/>
        <v>2016</v>
      </c>
      <c r="L10" s="41">
        <f t="shared" si="3"/>
        <v>26880</v>
      </c>
      <c r="M10" s="42">
        <f t="shared" si="4"/>
        <v>16045</v>
      </c>
      <c r="N10" s="42">
        <f t="shared" si="5"/>
        <v>42925</v>
      </c>
      <c r="O10" s="147">
        <f t="shared" si="6"/>
        <v>0.62620850320326149</v>
      </c>
      <c r="P10" s="44">
        <f t="shared" si="7"/>
        <v>34601</v>
      </c>
      <c r="Q10" s="27">
        <f t="shared" si="11"/>
        <v>0.77685616022658299</v>
      </c>
      <c r="R10" s="126"/>
      <c r="S10" s="35" t="str">
        <f t="shared" si="12"/>
        <v>2016-17</v>
      </c>
      <c r="T10" s="148">
        <f t="shared" si="13"/>
        <v>22230</v>
      </c>
      <c r="U10" s="149">
        <f t="shared" si="13"/>
        <v>16520</v>
      </c>
      <c r="V10" s="149">
        <f t="shared" si="13"/>
        <v>38750</v>
      </c>
      <c r="W10" s="150">
        <f t="shared" si="8"/>
        <v>0.57367741935483874</v>
      </c>
      <c r="X10" s="151">
        <f t="shared" si="14"/>
        <v>29836</v>
      </c>
      <c r="Y10" s="152">
        <f t="shared" si="9"/>
        <v>0.74507306609465074</v>
      </c>
      <c r="AC10" s="28"/>
      <c r="AD10" s="28"/>
      <c r="AE10" s="28"/>
      <c r="AF10" s="28"/>
    </row>
    <row r="11" spans="1:39" x14ac:dyDescent="0.3">
      <c r="A11">
        <f t="shared" si="10"/>
        <v>1990</v>
      </c>
      <c r="B11" s="29">
        <v>32933</v>
      </c>
      <c r="C11" s="30">
        <v>465</v>
      </c>
      <c r="D11" s="30">
        <v>431</v>
      </c>
      <c r="E11" s="31">
        <v>896</v>
      </c>
      <c r="F11" s="32">
        <f t="shared" si="0"/>
        <v>0.5189732142857143</v>
      </c>
      <c r="G11" s="33">
        <v>1101</v>
      </c>
      <c r="H11" s="34">
        <f t="shared" si="1"/>
        <v>0.42234332425068122</v>
      </c>
      <c r="I11" s="14"/>
      <c r="K11" s="35">
        <f t="shared" si="2"/>
        <v>2017</v>
      </c>
      <c r="L11" s="36">
        <f t="shared" si="3"/>
        <v>20458</v>
      </c>
      <c r="M11" s="37">
        <f t="shared" si="4"/>
        <v>16879</v>
      </c>
      <c r="N11" s="37">
        <f t="shared" si="5"/>
        <v>37337</v>
      </c>
      <c r="O11" s="153">
        <f t="shared" si="6"/>
        <v>0.54792832846773976</v>
      </c>
      <c r="P11" s="39">
        <f t="shared" si="7"/>
        <v>28807</v>
      </c>
      <c r="Q11" s="40">
        <f t="shared" si="11"/>
        <v>0.71017461033776508</v>
      </c>
      <c r="R11" s="126"/>
      <c r="S11" s="35" t="str">
        <f t="shared" si="12"/>
        <v>2017-18</v>
      </c>
      <c r="T11" s="36">
        <f t="shared" si="13"/>
        <v>19173</v>
      </c>
      <c r="U11" s="37">
        <f t="shared" si="13"/>
        <v>17215</v>
      </c>
      <c r="V11" s="37">
        <f t="shared" si="13"/>
        <v>36388</v>
      </c>
      <c r="W11" s="38">
        <f t="shared" si="8"/>
        <v>0.52690447400241835</v>
      </c>
      <c r="X11" s="39">
        <f t="shared" si="14"/>
        <v>27986</v>
      </c>
      <c r="Y11" s="40">
        <f t="shared" si="9"/>
        <v>0.68509254627313654</v>
      </c>
      <c r="AC11" s="28"/>
      <c r="AD11" s="28"/>
      <c r="AE11" s="28"/>
      <c r="AF11" s="28"/>
    </row>
    <row r="12" spans="1:39" x14ac:dyDescent="0.3">
      <c r="A12">
        <f t="shared" si="10"/>
        <v>1990</v>
      </c>
      <c r="B12" s="29">
        <v>33025</v>
      </c>
      <c r="C12" s="18">
        <v>469</v>
      </c>
      <c r="D12" s="18">
        <v>570</v>
      </c>
      <c r="E12" s="19">
        <v>1039</v>
      </c>
      <c r="F12" s="20">
        <f t="shared" si="0"/>
        <v>0.45139557266602504</v>
      </c>
      <c r="G12" s="21">
        <v>1079</v>
      </c>
      <c r="H12" s="22">
        <f t="shared" si="1"/>
        <v>0.43466172381835033</v>
      </c>
      <c r="I12" s="14"/>
      <c r="K12" s="23">
        <f t="shared" si="2"/>
        <v>2018</v>
      </c>
      <c r="L12" s="41">
        <f t="shared" si="3"/>
        <v>17793</v>
      </c>
      <c r="M12" s="42">
        <f t="shared" si="4"/>
        <v>16802</v>
      </c>
      <c r="N12" s="42">
        <f t="shared" si="5"/>
        <v>34595</v>
      </c>
      <c r="O12" s="147">
        <f t="shared" si="6"/>
        <v>0.51432287902876139</v>
      </c>
      <c r="P12" s="44">
        <f t="shared" si="7"/>
        <v>26406</v>
      </c>
      <c r="Q12" s="27">
        <f t="shared" si="11"/>
        <v>0.67382413087934556</v>
      </c>
      <c r="R12" s="126"/>
      <c r="S12" s="35" t="str">
        <f t="shared" si="12"/>
        <v>2018-19</v>
      </c>
      <c r="T12" s="148">
        <f t="shared" si="13"/>
        <v>16968</v>
      </c>
      <c r="U12" s="149">
        <f t="shared" si="13"/>
        <v>16386</v>
      </c>
      <c r="V12" s="149">
        <f t="shared" si="13"/>
        <v>33354</v>
      </c>
      <c r="W12" s="150">
        <f t="shared" si="8"/>
        <v>0.50872459075373266</v>
      </c>
      <c r="X12" s="151">
        <f t="shared" si="14"/>
        <v>25167</v>
      </c>
      <c r="Y12" s="152">
        <f t="shared" si="9"/>
        <v>0.67421623554654908</v>
      </c>
      <c r="AC12" s="28"/>
      <c r="AD12" s="28"/>
      <c r="AE12" s="28"/>
      <c r="AF12" s="28"/>
    </row>
    <row r="13" spans="1:39" x14ac:dyDescent="0.3">
      <c r="A13">
        <f t="shared" si="10"/>
        <v>1990</v>
      </c>
      <c r="B13" s="29">
        <v>33117</v>
      </c>
      <c r="C13" s="30">
        <v>513</v>
      </c>
      <c r="D13" s="30">
        <v>631</v>
      </c>
      <c r="E13" s="31">
        <v>1144</v>
      </c>
      <c r="F13" s="32">
        <f t="shared" si="0"/>
        <v>0.44842657342657344</v>
      </c>
      <c r="G13" s="33">
        <v>1280</v>
      </c>
      <c r="H13" s="34">
        <f t="shared" si="1"/>
        <v>0.40078124999999998</v>
      </c>
      <c r="I13" s="14"/>
      <c r="K13" s="35">
        <f t="shared" si="2"/>
        <v>2019</v>
      </c>
      <c r="L13" s="36">
        <f t="shared" si="3"/>
        <v>17236</v>
      </c>
      <c r="M13" s="37">
        <f t="shared" si="4"/>
        <v>16656</v>
      </c>
      <c r="N13" s="37">
        <f t="shared" si="5"/>
        <v>33892</v>
      </c>
      <c r="O13" s="153">
        <f t="shared" si="6"/>
        <v>0.50855659152602384</v>
      </c>
      <c r="P13" s="39">
        <f t="shared" si="7"/>
        <v>25302</v>
      </c>
      <c r="Q13" s="40">
        <f t="shared" si="11"/>
        <v>0.68121097146470633</v>
      </c>
      <c r="R13" s="126"/>
      <c r="S13" s="35" t="str">
        <f t="shared" si="12"/>
        <v>2019-20</v>
      </c>
      <c r="T13" s="36">
        <f t="shared" si="13"/>
        <v>18961</v>
      </c>
      <c r="U13" s="37">
        <f t="shared" si="13"/>
        <v>16194</v>
      </c>
      <c r="V13" s="37">
        <f t="shared" si="13"/>
        <v>35155</v>
      </c>
      <c r="W13" s="38">
        <f t="shared" si="8"/>
        <v>0.53935428815246766</v>
      </c>
      <c r="X13" s="39">
        <f t="shared" si="14"/>
        <v>26864</v>
      </c>
      <c r="Y13" s="40">
        <f t="shared" si="9"/>
        <v>0.70581447290053601</v>
      </c>
      <c r="AC13" s="28"/>
      <c r="AD13" s="28"/>
      <c r="AE13" s="28"/>
      <c r="AF13" s="28"/>
    </row>
    <row r="14" spans="1:39" x14ac:dyDescent="0.3">
      <c r="A14">
        <f t="shared" si="10"/>
        <v>1990</v>
      </c>
      <c r="B14" s="29">
        <v>33208</v>
      </c>
      <c r="C14" s="18">
        <v>490</v>
      </c>
      <c r="D14" s="18">
        <v>770</v>
      </c>
      <c r="E14" s="19">
        <v>1260</v>
      </c>
      <c r="F14" s="20">
        <f t="shared" si="0"/>
        <v>0.3888888888888889</v>
      </c>
      <c r="G14" s="21">
        <v>1252</v>
      </c>
      <c r="H14" s="22">
        <f t="shared" si="1"/>
        <v>0.39137380191693288</v>
      </c>
      <c r="I14" s="14"/>
      <c r="K14" s="35">
        <f t="shared" si="2"/>
        <v>2020</v>
      </c>
      <c r="L14" s="41">
        <f t="shared" si="3"/>
        <v>19993</v>
      </c>
      <c r="M14" s="42">
        <f t="shared" si="4"/>
        <v>15165</v>
      </c>
      <c r="N14" s="42">
        <f t="shared" si="5"/>
        <v>35158</v>
      </c>
      <c r="O14" s="147">
        <f t="shared" si="6"/>
        <v>0.56866147107343989</v>
      </c>
      <c r="P14" s="44">
        <f t="shared" si="7"/>
        <v>27633</v>
      </c>
      <c r="Q14" s="27">
        <f t="shared" si="11"/>
        <v>0.7235189809285999</v>
      </c>
      <c r="R14" s="126"/>
      <c r="S14" s="35" t="str">
        <f t="shared" si="12"/>
        <v>2020-21</v>
      </c>
      <c r="T14" s="148">
        <f t="shared" si="13"/>
        <v>20671</v>
      </c>
      <c r="U14" s="149">
        <f t="shared" si="13"/>
        <v>14789</v>
      </c>
      <c r="V14" s="149">
        <f t="shared" si="13"/>
        <v>35460</v>
      </c>
      <c r="W14" s="150">
        <f t="shared" si="8"/>
        <v>0.58293852227862375</v>
      </c>
      <c r="X14" s="151">
        <f t="shared" si="14"/>
        <v>29334</v>
      </c>
      <c r="Y14" s="152">
        <f t="shared" si="9"/>
        <v>0.70467716642803568</v>
      </c>
      <c r="AC14" s="28"/>
      <c r="AD14" s="28"/>
      <c r="AE14" s="28"/>
      <c r="AF14" s="28"/>
    </row>
    <row r="15" spans="1:39" x14ac:dyDescent="0.3">
      <c r="A15">
        <f t="shared" si="10"/>
        <v>1991</v>
      </c>
      <c r="B15" s="29">
        <v>33298</v>
      </c>
      <c r="C15" s="30">
        <v>457</v>
      </c>
      <c r="D15" s="30">
        <v>612</v>
      </c>
      <c r="E15" s="31">
        <v>1069</v>
      </c>
      <c r="F15" s="32">
        <f t="shared" si="0"/>
        <v>0.42750233863423759</v>
      </c>
      <c r="G15" s="33">
        <v>1068</v>
      </c>
      <c r="H15" s="34">
        <f t="shared" si="1"/>
        <v>0.42790262172284643</v>
      </c>
      <c r="I15" s="14"/>
      <c r="K15" s="35">
        <f t="shared" si="2"/>
        <v>2021</v>
      </c>
      <c r="L15" s="36">
        <f t="shared" si="3"/>
        <v>22258</v>
      </c>
      <c r="M15" s="37">
        <f t="shared" si="4"/>
        <v>15805</v>
      </c>
      <c r="N15" s="37">
        <f t="shared" si="5"/>
        <v>38063</v>
      </c>
      <c r="O15" s="153">
        <f t="shared" si="6"/>
        <v>0.5847673593778735</v>
      </c>
      <c r="P15" s="39">
        <f t="shared" si="7"/>
        <v>31900</v>
      </c>
      <c r="Q15" s="40">
        <f t="shared" si="11"/>
        <v>0.69774294670846393</v>
      </c>
      <c r="R15" s="126"/>
      <c r="S15" s="35" t="str">
        <f t="shared" si="12"/>
        <v>2021-22</v>
      </c>
      <c r="T15" s="36">
        <f t="shared" si="13"/>
        <v>24459</v>
      </c>
      <c r="U15" s="37">
        <f t="shared" si="13"/>
        <v>17229</v>
      </c>
      <c r="V15" s="37">
        <f t="shared" si="13"/>
        <v>41688</v>
      </c>
      <c r="W15" s="38">
        <f t="shared" si="8"/>
        <v>0.58671560161197467</v>
      </c>
      <c r="X15" s="39">
        <f t="shared" si="14"/>
        <v>34286</v>
      </c>
      <c r="Y15" s="40">
        <f t="shared" si="9"/>
        <v>0.71338155515370705</v>
      </c>
      <c r="AC15" s="28"/>
      <c r="AD15" s="28"/>
      <c r="AE15" s="28"/>
      <c r="AF15" s="28"/>
    </row>
    <row r="16" spans="1:39" x14ac:dyDescent="0.3">
      <c r="A16">
        <f t="shared" si="10"/>
        <v>1991</v>
      </c>
      <c r="B16" s="29">
        <v>33390</v>
      </c>
      <c r="C16" s="18">
        <v>473</v>
      </c>
      <c r="D16" s="18">
        <v>677</v>
      </c>
      <c r="E16" s="19">
        <v>1150</v>
      </c>
      <c r="F16" s="20">
        <f t="shared" si="0"/>
        <v>0.41130434782608694</v>
      </c>
      <c r="G16" s="21">
        <v>1086</v>
      </c>
      <c r="H16" s="22">
        <f t="shared" si="1"/>
        <v>0.43554327808471455</v>
      </c>
      <c r="I16" s="14"/>
      <c r="K16" s="35">
        <f t="shared" si="2"/>
        <v>2022</v>
      </c>
      <c r="L16" s="41">
        <f t="shared" si="3"/>
        <v>25834</v>
      </c>
      <c r="M16" s="42">
        <f t="shared" si="4"/>
        <v>18398</v>
      </c>
      <c r="N16" s="42">
        <f t="shared" si="5"/>
        <v>44232</v>
      </c>
      <c r="O16" s="147">
        <f t="shared" si="6"/>
        <v>0.58405679146319411</v>
      </c>
      <c r="P16" s="44">
        <f t="shared" si="7"/>
        <v>35911</v>
      </c>
      <c r="Q16" s="27">
        <f t="shared" si="11"/>
        <v>0.71938960207178859</v>
      </c>
      <c r="R16" s="126"/>
      <c r="S16" s="35" t="str">
        <f t="shared" si="12"/>
        <v>2022-23</v>
      </c>
      <c r="T16" s="148">
        <f t="shared" si="13"/>
        <v>27292</v>
      </c>
      <c r="U16" s="149">
        <f t="shared" si="13"/>
        <v>19464</v>
      </c>
      <c r="V16" s="149">
        <f t="shared" si="13"/>
        <v>46756</v>
      </c>
      <c r="W16" s="150">
        <f t="shared" si="8"/>
        <v>0.58371118145264778</v>
      </c>
      <c r="X16" s="151">
        <f t="shared" si="14"/>
        <v>38197</v>
      </c>
      <c r="Y16" s="152">
        <f t="shared" si="9"/>
        <v>0.71450637484619206</v>
      </c>
      <c r="AC16" s="28"/>
      <c r="AD16" s="28"/>
      <c r="AE16" s="28"/>
      <c r="AF16" s="28"/>
    </row>
    <row r="17" spans="1:32" ht="15" thickBot="1" x14ac:dyDescent="0.35">
      <c r="A17">
        <f t="shared" si="10"/>
        <v>1991</v>
      </c>
      <c r="B17" s="29">
        <v>33482</v>
      </c>
      <c r="C17" s="30">
        <v>444</v>
      </c>
      <c r="D17" s="30">
        <v>596</v>
      </c>
      <c r="E17" s="31">
        <v>1040</v>
      </c>
      <c r="F17" s="32">
        <f t="shared" si="0"/>
        <v>0.42692307692307691</v>
      </c>
      <c r="G17" s="33">
        <v>1181</v>
      </c>
      <c r="H17" s="34">
        <f t="shared" si="1"/>
        <v>0.37595258255715497</v>
      </c>
      <c r="I17" s="14"/>
      <c r="K17" s="154">
        <f>YEAR(LARGE(B:B, 4))</f>
        <v>2023</v>
      </c>
      <c r="L17" s="46">
        <f t="shared" si="3"/>
        <v>31052</v>
      </c>
      <c r="M17" s="47">
        <f t="shared" si="4"/>
        <v>20118</v>
      </c>
      <c r="N17" s="47">
        <f t="shared" si="5"/>
        <v>51170</v>
      </c>
      <c r="O17" s="155">
        <f t="shared" si="6"/>
        <v>0.60683994528043772</v>
      </c>
      <c r="P17" s="49">
        <f t="shared" si="7"/>
        <v>43334</v>
      </c>
      <c r="Q17" s="50">
        <f t="shared" si="11"/>
        <v>0.71657359117552033</v>
      </c>
      <c r="R17" s="126"/>
      <c r="S17" s="154" t="str">
        <f>YEAR(MAX(B:B))-1 &amp; "-" &amp; RIGHT(YEAR(MAX(B:B)), 2)</f>
        <v>2023-24</v>
      </c>
      <c r="T17" s="46">
        <f t="shared" si="13"/>
        <v>32353</v>
      </c>
      <c r="U17" s="47">
        <f t="shared" si="13"/>
        <v>20192</v>
      </c>
      <c r="V17" s="47">
        <f t="shared" si="13"/>
        <v>52545</v>
      </c>
      <c r="W17" s="48">
        <f t="shared" si="8"/>
        <v>0.61571985916833194</v>
      </c>
      <c r="X17" s="49">
        <f t="shared" si="14"/>
        <v>45108</v>
      </c>
      <c r="Y17" s="50">
        <f t="shared" si="9"/>
        <v>0.71723419349117679</v>
      </c>
      <c r="AA17" s="28"/>
      <c r="AC17" s="28"/>
      <c r="AD17" s="28"/>
      <c r="AE17" s="28"/>
      <c r="AF17" s="28"/>
    </row>
    <row r="18" spans="1:32" x14ac:dyDescent="0.3">
      <c r="A18">
        <f t="shared" si="10"/>
        <v>1991</v>
      </c>
      <c r="B18" s="29">
        <v>33573</v>
      </c>
      <c r="C18" s="18">
        <v>506</v>
      </c>
      <c r="D18" s="18">
        <v>640</v>
      </c>
      <c r="E18" s="19">
        <v>1146</v>
      </c>
      <c r="F18" s="20">
        <f t="shared" si="0"/>
        <v>0.44153577661431065</v>
      </c>
      <c r="G18" s="21">
        <v>1250</v>
      </c>
      <c r="H18" s="22">
        <f t="shared" si="1"/>
        <v>0.40479999999999999</v>
      </c>
      <c r="I18" s="14"/>
      <c r="L18" s="156"/>
      <c r="M18" s="51"/>
      <c r="N18" s="156"/>
      <c r="O18" s="51"/>
      <c r="P18" s="51"/>
    </row>
    <row r="19" spans="1:32" x14ac:dyDescent="0.3">
      <c r="A19">
        <f t="shared" si="10"/>
        <v>1992</v>
      </c>
      <c r="B19" s="29">
        <v>33664</v>
      </c>
      <c r="C19" s="30">
        <v>428</v>
      </c>
      <c r="D19" s="30">
        <v>465</v>
      </c>
      <c r="E19" s="31">
        <v>893</v>
      </c>
      <c r="F19" s="32">
        <f t="shared" si="0"/>
        <v>0.47928331466965285</v>
      </c>
      <c r="G19" s="33">
        <v>1063</v>
      </c>
      <c r="H19" s="34">
        <f t="shared" si="1"/>
        <v>0.4026340545625588</v>
      </c>
      <c r="I19" s="14"/>
    </row>
    <row r="20" spans="1:32" x14ac:dyDescent="0.3">
      <c r="A20">
        <f t="shared" si="10"/>
        <v>1992</v>
      </c>
      <c r="B20" s="29">
        <v>33756</v>
      </c>
      <c r="C20" s="18">
        <v>556</v>
      </c>
      <c r="D20" s="18">
        <v>632</v>
      </c>
      <c r="E20" s="19">
        <v>1188</v>
      </c>
      <c r="F20" s="20">
        <f t="shared" si="0"/>
        <v>0.46801346801346799</v>
      </c>
      <c r="G20" s="21">
        <v>1113</v>
      </c>
      <c r="H20" s="22">
        <f t="shared" si="1"/>
        <v>0.49955076370170709</v>
      </c>
      <c r="I20" s="14"/>
    </row>
    <row r="21" spans="1:32" x14ac:dyDescent="0.3">
      <c r="A21">
        <f t="shared" si="10"/>
        <v>1992</v>
      </c>
      <c r="B21" s="29">
        <v>33848</v>
      </c>
      <c r="C21" s="30">
        <v>672</v>
      </c>
      <c r="D21" s="30">
        <v>593</v>
      </c>
      <c r="E21" s="31">
        <v>1265</v>
      </c>
      <c r="F21" s="32">
        <f t="shared" si="0"/>
        <v>0.53122529644268779</v>
      </c>
      <c r="G21" s="33">
        <v>1316</v>
      </c>
      <c r="H21" s="34">
        <f t="shared" si="1"/>
        <v>0.51063829787234039</v>
      </c>
      <c r="I21" s="14"/>
    </row>
    <row r="22" spans="1:32" x14ac:dyDescent="0.3">
      <c r="A22">
        <f t="shared" si="10"/>
        <v>1992</v>
      </c>
      <c r="B22" s="29">
        <v>33939</v>
      </c>
      <c r="C22" s="18">
        <v>840</v>
      </c>
      <c r="D22" s="18">
        <v>602</v>
      </c>
      <c r="E22" s="19">
        <v>1442</v>
      </c>
      <c r="F22" s="20">
        <f t="shared" si="0"/>
        <v>0.58252427184466016</v>
      </c>
      <c r="G22" s="21">
        <v>1571</v>
      </c>
      <c r="H22" s="22">
        <f t="shared" si="1"/>
        <v>0.53469127943984718</v>
      </c>
      <c r="I22" s="14"/>
    </row>
    <row r="23" spans="1:32" x14ac:dyDescent="0.3">
      <c r="A23">
        <f t="shared" si="10"/>
        <v>1993</v>
      </c>
      <c r="B23" s="29">
        <v>34029</v>
      </c>
      <c r="C23" s="30">
        <v>732</v>
      </c>
      <c r="D23" s="30">
        <v>574</v>
      </c>
      <c r="E23" s="31">
        <v>1306</v>
      </c>
      <c r="F23" s="32">
        <f t="shared" si="0"/>
        <v>0.56049004594180707</v>
      </c>
      <c r="G23" s="33">
        <v>1629</v>
      </c>
      <c r="H23" s="34">
        <f t="shared" si="1"/>
        <v>0.44935543278084716</v>
      </c>
      <c r="I23" s="14"/>
    </row>
    <row r="24" spans="1:32" x14ac:dyDescent="0.3">
      <c r="A24">
        <f t="shared" si="10"/>
        <v>1993</v>
      </c>
      <c r="B24" s="29">
        <v>34121</v>
      </c>
      <c r="C24" s="18">
        <v>800</v>
      </c>
      <c r="D24" s="18">
        <v>735</v>
      </c>
      <c r="E24" s="19">
        <v>1535</v>
      </c>
      <c r="F24" s="20">
        <f t="shared" si="0"/>
        <v>0.52117263843648209</v>
      </c>
      <c r="G24" s="21">
        <v>1458</v>
      </c>
      <c r="H24" s="22">
        <f t="shared" si="1"/>
        <v>0.54869684499314131</v>
      </c>
      <c r="I24" s="14"/>
    </row>
    <row r="25" spans="1:32" x14ac:dyDescent="0.3">
      <c r="A25">
        <f t="shared" si="10"/>
        <v>1993</v>
      </c>
      <c r="B25" s="29">
        <v>34213</v>
      </c>
      <c r="C25" s="30">
        <v>763</v>
      </c>
      <c r="D25" s="30">
        <v>582</v>
      </c>
      <c r="E25" s="31">
        <v>1345</v>
      </c>
      <c r="F25" s="32">
        <f t="shared" si="0"/>
        <v>0.56728624535315986</v>
      </c>
      <c r="G25" s="33">
        <v>1416</v>
      </c>
      <c r="H25" s="34">
        <f t="shared" si="1"/>
        <v>0.53884180790960456</v>
      </c>
      <c r="I25" s="14"/>
    </row>
    <row r="26" spans="1:32" x14ac:dyDescent="0.3">
      <c r="A26">
        <f t="shared" si="10"/>
        <v>1993</v>
      </c>
      <c r="B26" s="29">
        <v>34304</v>
      </c>
      <c r="C26" s="18">
        <v>980</v>
      </c>
      <c r="D26" s="18">
        <v>637</v>
      </c>
      <c r="E26" s="19">
        <v>1617</v>
      </c>
      <c r="F26" s="20">
        <f t="shared" si="0"/>
        <v>0.60606060606060608</v>
      </c>
      <c r="G26" s="21">
        <v>1866</v>
      </c>
      <c r="H26" s="22">
        <f t="shared" si="1"/>
        <v>0.52518756698821012</v>
      </c>
      <c r="I26" s="14"/>
    </row>
    <row r="27" spans="1:32" x14ac:dyDescent="0.3">
      <c r="A27">
        <f t="shared" si="10"/>
        <v>1994</v>
      </c>
      <c r="B27" s="29">
        <v>34394</v>
      </c>
      <c r="C27" s="30">
        <v>671</v>
      </c>
      <c r="D27" s="30">
        <v>606</v>
      </c>
      <c r="E27" s="31">
        <v>1277</v>
      </c>
      <c r="F27" s="32">
        <f t="shared" si="0"/>
        <v>0.52545027407987466</v>
      </c>
      <c r="G27" s="33">
        <v>1288</v>
      </c>
      <c r="H27" s="34">
        <f t="shared" si="1"/>
        <v>0.52096273291925466</v>
      </c>
      <c r="I27" s="14"/>
    </row>
    <row r="28" spans="1:32" x14ac:dyDescent="0.3">
      <c r="A28">
        <f t="shared" si="10"/>
        <v>1994</v>
      </c>
      <c r="B28" s="29">
        <v>34486</v>
      </c>
      <c r="C28" s="18">
        <v>772</v>
      </c>
      <c r="D28" s="18">
        <v>640</v>
      </c>
      <c r="E28" s="19">
        <v>1412</v>
      </c>
      <c r="F28" s="20">
        <f t="shared" si="0"/>
        <v>0.54674220963172804</v>
      </c>
      <c r="G28" s="21">
        <v>1686</v>
      </c>
      <c r="H28" s="22">
        <f t="shared" si="1"/>
        <v>0.45788849347568211</v>
      </c>
      <c r="I28" s="14"/>
    </row>
    <row r="29" spans="1:32" x14ac:dyDescent="0.3">
      <c r="A29">
        <f t="shared" si="10"/>
        <v>1994</v>
      </c>
      <c r="B29" s="29">
        <v>34578</v>
      </c>
      <c r="C29" s="30">
        <v>662</v>
      </c>
      <c r="D29" s="30">
        <v>668</v>
      </c>
      <c r="E29" s="31">
        <v>1330</v>
      </c>
      <c r="F29" s="32">
        <f t="shared" si="0"/>
        <v>0.49774436090225566</v>
      </c>
      <c r="G29" s="33">
        <v>1302</v>
      </c>
      <c r="H29" s="34">
        <f t="shared" si="1"/>
        <v>0.50844854070660517</v>
      </c>
      <c r="I29" s="14"/>
    </row>
    <row r="30" spans="1:32" x14ac:dyDescent="0.3">
      <c r="A30">
        <f t="shared" si="10"/>
        <v>1994</v>
      </c>
      <c r="B30" s="29">
        <v>34669</v>
      </c>
      <c r="C30" s="18">
        <v>1152</v>
      </c>
      <c r="D30" s="18">
        <v>719</v>
      </c>
      <c r="E30" s="19">
        <v>1871</v>
      </c>
      <c r="F30" s="20">
        <f t="shared" si="0"/>
        <v>0.61571352218065201</v>
      </c>
      <c r="G30" s="21">
        <v>2352</v>
      </c>
      <c r="H30" s="22">
        <f t="shared" si="1"/>
        <v>0.48979591836734693</v>
      </c>
      <c r="I30" s="14"/>
    </row>
    <row r="31" spans="1:32" x14ac:dyDescent="0.3">
      <c r="A31">
        <f t="shared" si="10"/>
        <v>1995</v>
      </c>
      <c r="B31" s="29">
        <v>34759</v>
      </c>
      <c r="C31" s="30">
        <v>989</v>
      </c>
      <c r="D31" s="30">
        <v>558</v>
      </c>
      <c r="E31" s="31">
        <v>1547</v>
      </c>
      <c r="F31" s="32">
        <f t="shared" si="0"/>
        <v>0.63930187459599219</v>
      </c>
      <c r="G31" s="33">
        <v>1623</v>
      </c>
      <c r="H31" s="34">
        <f t="shared" si="1"/>
        <v>0.60936537276648184</v>
      </c>
      <c r="I31" s="14"/>
    </row>
    <row r="32" spans="1:32" x14ac:dyDescent="0.3">
      <c r="A32">
        <f t="shared" si="10"/>
        <v>1995</v>
      </c>
      <c r="B32" s="29">
        <v>34851</v>
      </c>
      <c r="C32" s="18">
        <v>859</v>
      </c>
      <c r="D32" s="18">
        <v>831</v>
      </c>
      <c r="E32" s="19">
        <v>1690</v>
      </c>
      <c r="F32" s="20">
        <f t="shared" si="0"/>
        <v>0.50828402366863901</v>
      </c>
      <c r="G32" s="21">
        <v>1756</v>
      </c>
      <c r="H32" s="22">
        <f t="shared" si="1"/>
        <v>0.48917995444191342</v>
      </c>
      <c r="I32" s="14"/>
    </row>
    <row r="33" spans="1:16" x14ac:dyDescent="0.3">
      <c r="A33">
        <f t="shared" si="10"/>
        <v>1995</v>
      </c>
      <c r="B33" s="29">
        <v>34943</v>
      </c>
      <c r="C33" s="30">
        <v>976</v>
      </c>
      <c r="D33" s="30">
        <v>695</v>
      </c>
      <c r="E33" s="31">
        <v>1671</v>
      </c>
      <c r="F33" s="32">
        <f t="shared" si="0"/>
        <v>0.58408138839018553</v>
      </c>
      <c r="G33" s="33">
        <v>1973</v>
      </c>
      <c r="H33" s="34">
        <f t="shared" si="1"/>
        <v>0.49467815509376584</v>
      </c>
      <c r="I33" s="14"/>
    </row>
    <row r="34" spans="1:16" x14ac:dyDescent="0.3">
      <c r="A34">
        <f t="shared" si="10"/>
        <v>1995</v>
      </c>
      <c r="B34" s="29">
        <v>35034</v>
      </c>
      <c r="C34" s="18">
        <v>1205</v>
      </c>
      <c r="D34" s="18">
        <v>806</v>
      </c>
      <c r="E34" s="19">
        <v>2011</v>
      </c>
      <c r="F34" s="20">
        <f t="shared" si="0"/>
        <v>0.59920437593237197</v>
      </c>
      <c r="G34" s="21">
        <v>2476</v>
      </c>
      <c r="H34" s="22">
        <f t="shared" si="1"/>
        <v>0.4866720516962843</v>
      </c>
      <c r="I34" s="14"/>
    </row>
    <row r="35" spans="1:16" x14ac:dyDescent="0.3">
      <c r="A35">
        <f t="shared" si="10"/>
        <v>1996</v>
      </c>
      <c r="B35" s="29">
        <v>35125</v>
      </c>
      <c r="C35" s="30">
        <v>901</v>
      </c>
      <c r="D35" s="30">
        <v>813</v>
      </c>
      <c r="E35" s="31">
        <v>1714</v>
      </c>
      <c r="F35" s="32">
        <f t="shared" si="0"/>
        <v>0.52567094515752621</v>
      </c>
      <c r="G35" s="33">
        <v>1837</v>
      </c>
      <c r="H35" s="34">
        <f t="shared" si="1"/>
        <v>0.49047359825802939</v>
      </c>
      <c r="I35" s="14"/>
    </row>
    <row r="36" spans="1:16" x14ac:dyDescent="0.3">
      <c r="A36">
        <f t="shared" si="10"/>
        <v>1996</v>
      </c>
      <c r="B36" s="29">
        <v>35217</v>
      </c>
      <c r="C36" s="18">
        <v>1079</v>
      </c>
      <c r="D36" s="18">
        <v>1191</v>
      </c>
      <c r="E36" s="19">
        <v>2270</v>
      </c>
      <c r="F36" s="20">
        <f t="shared" si="0"/>
        <v>0.47533039647577091</v>
      </c>
      <c r="G36" s="21">
        <v>2311</v>
      </c>
      <c r="H36" s="22">
        <f t="shared" si="1"/>
        <v>0.46689744699264385</v>
      </c>
      <c r="I36" s="14"/>
    </row>
    <row r="37" spans="1:16" x14ac:dyDescent="0.3">
      <c r="A37">
        <f t="shared" si="10"/>
        <v>1996</v>
      </c>
      <c r="B37" s="29">
        <v>35309</v>
      </c>
      <c r="C37" s="30">
        <v>815</v>
      </c>
      <c r="D37" s="30">
        <v>1194</v>
      </c>
      <c r="E37" s="31">
        <v>2009</v>
      </c>
      <c r="F37" s="32">
        <f t="shared" si="0"/>
        <v>0.40567446490791437</v>
      </c>
      <c r="G37" s="33">
        <v>1690</v>
      </c>
      <c r="H37" s="34">
        <f t="shared" si="1"/>
        <v>0.48224852071005919</v>
      </c>
      <c r="I37" s="52"/>
    </row>
    <row r="38" spans="1:16" x14ac:dyDescent="0.3">
      <c r="A38">
        <f t="shared" si="10"/>
        <v>1996</v>
      </c>
      <c r="B38" s="29">
        <v>35400</v>
      </c>
      <c r="C38" s="18">
        <v>983</v>
      </c>
      <c r="D38" s="18">
        <v>1375</v>
      </c>
      <c r="E38" s="19">
        <v>2358</v>
      </c>
      <c r="F38" s="20">
        <f t="shared" si="0"/>
        <v>0.41687871077184052</v>
      </c>
      <c r="G38" s="21">
        <v>2001</v>
      </c>
      <c r="H38" s="22">
        <f t="shared" si="1"/>
        <v>0.49125437281359319</v>
      </c>
      <c r="I38" s="52"/>
    </row>
    <row r="39" spans="1:16" ht="15.75" customHeight="1" x14ac:dyDescent="0.3">
      <c r="A39">
        <f t="shared" si="10"/>
        <v>1997</v>
      </c>
      <c r="B39" s="29">
        <v>35490</v>
      </c>
      <c r="C39" s="30">
        <v>995</v>
      </c>
      <c r="D39" s="30">
        <v>1241</v>
      </c>
      <c r="E39" s="31">
        <v>2236</v>
      </c>
      <c r="F39" s="32">
        <f t="shared" si="0"/>
        <v>0.44499105545617174</v>
      </c>
      <c r="G39" s="33">
        <v>1650</v>
      </c>
      <c r="H39" s="34">
        <f t="shared" si="1"/>
        <v>0.60303030303030303</v>
      </c>
      <c r="I39" s="52"/>
      <c r="L39" s="157"/>
      <c r="M39" s="157"/>
      <c r="N39" s="157"/>
      <c r="O39" s="157"/>
      <c r="P39" s="157"/>
    </row>
    <row r="40" spans="1:16" x14ac:dyDescent="0.3">
      <c r="A40">
        <f t="shared" si="10"/>
        <v>1997</v>
      </c>
      <c r="B40" s="29">
        <v>35582</v>
      </c>
      <c r="C40" s="18">
        <v>1107</v>
      </c>
      <c r="D40" s="18">
        <v>1276</v>
      </c>
      <c r="E40" s="19">
        <v>2383</v>
      </c>
      <c r="F40" s="20">
        <f t="shared" si="0"/>
        <v>0.46454049517415025</v>
      </c>
      <c r="G40" s="21">
        <v>1868</v>
      </c>
      <c r="H40" s="22">
        <f t="shared" si="1"/>
        <v>0.59261241970021417</v>
      </c>
      <c r="I40" s="52"/>
      <c r="L40" s="157"/>
      <c r="M40" s="157"/>
      <c r="N40" s="157"/>
      <c r="O40" s="157"/>
      <c r="P40" s="157"/>
    </row>
    <row r="41" spans="1:16" x14ac:dyDescent="0.3">
      <c r="A41">
        <f t="shared" si="10"/>
        <v>1997</v>
      </c>
      <c r="B41" s="29">
        <v>35674</v>
      </c>
      <c r="C41" s="30">
        <v>1145</v>
      </c>
      <c r="D41" s="30">
        <v>1417</v>
      </c>
      <c r="E41" s="31">
        <v>2562</v>
      </c>
      <c r="F41" s="32">
        <f t="shared" si="0"/>
        <v>0.44691647150663544</v>
      </c>
      <c r="G41" s="33">
        <v>1944</v>
      </c>
      <c r="H41" s="34">
        <f t="shared" si="1"/>
        <v>0.58899176954732513</v>
      </c>
      <c r="I41" s="52"/>
      <c r="L41" s="157"/>
      <c r="M41" s="157"/>
      <c r="N41" s="157"/>
      <c r="O41" s="157"/>
      <c r="P41" s="157"/>
    </row>
    <row r="42" spans="1:16" x14ac:dyDescent="0.3">
      <c r="A42">
        <f t="shared" si="10"/>
        <v>1997</v>
      </c>
      <c r="B42" s="29">
        <v>35765</v>
      </c>
      <c r="C42" s="18">
        <v>1455</v>
      </c>
      <c r="D42" s="18">
        <v>1655</v>
      </c>
      <c r="E42" s="19">
        <v>3110</v>
      </c>
      <c r="F42" s="20">
        <f t="shared" si="0"/>
        <v>0.46784565916398713</v>
      </c>
      <c r="G42" s="21">
        <v>2566</v>
      </c>
      <c r="H42" s="22">
        <f t="shared" si="1"/>
        <v>0.56703039750584572</v>
      </c>
      <c r="I42" s="52"/>
      <c r="L42" s="157"/>
      <c r="M42" s="157"/>
      <c r="N42" s="157"/>
      <c r="O42" s="157"/>
      <c r="P42" s="157"/>
    </row>
    <row r="43" spans="1:16" x14ac:dyDescent="0.3">
      <c r="A43">
        <f t="shared" si="10"/>
        <v>1998</v>
      </c>
      <c r="B43" s="29">
        <v>35855</v>
      </c>
      <c r="C43" s="30">
        <v>1439</v>
      </c>
      <c r="D43" s="30">
        <v>1207</v>
      </c>
      <c r="E43" s="31">
        <v>2646</v>
      </c>
      <c r="F43" s="32">
        <f t="shared" si="0"/>
        <v>0.54383975812547236</v>
      </c>
      <c r="G43" s="33">
        <v>2359</v>
      </c>
      <c r="H43" s="34">
        <f t="shared" si="1"/>
        <v>0.61000423908435775</v>
      </c>
      <c r="I43" s="52"/>
      <c r="L43" s="157"/>
      <c r="M43" s="157"/>
      <c r="N43" s="157"/>
      <c r="O43" s="157"/>
      <c r="P43" s="157"/>
    </row>
    <row r="44" spans="1:16" x14ac:dyDescent="0.3">
      <c r="A44">
        <f t="shared" si="10"/>
        <v>1998</v>
      </c>
      <c r="B44" s="29">
        <v>35947</v>
      </c>
      <c r="C44" s="18">
        <v>1539</v>
      </c>
      <c r="D44" s="18">
        <v>1503</v>
      </c>
      <c r="E44" s="19">
        <v>3042</v>
      </c>
      <c r="F44" s="20">
        <f t="shared" si="0"/>
        <v>0.50591715976331364</v>
      </c>
      <c r="G44" s="21">
        <v>2599</v>
      </c>
      <c r="H44" s="22">
        <f t="shared" si="1"/>
        <v>0.59215082724124668</v>
      </c>
      <c r="I44" s="52"/>
      <c r="L44" s="157"/>
      <c r="M44" s="157"/>
      <c r="N44" s="157"/>
      <c r="O44" s="157"/>
      <c r="P44" s="157"/>
    </row>
    <row r="45" spans="1:16" x14ac:dyDescent="0.3">
      <c r="A45">
        <f t="shared" si="10"/>
        <v>1998</v>
      </c>
      <c r="B45" s="29">
        <v>36039</v>
      </c>
      <c r="C45" s="30">
        <v>1132</v>
      </c>
      <c r="D45" s="30">
        <v>1510</v>
      </c>
      <c r="E45" s="31">
        <v>2642</v>
      </c>
      <c r="F45" s="32">
        <f t="shared" si="0"/>
        <v>0.42846328538985617</v>
      </c>
      <c r="G45" s="33">
        <v>2458</v>
      </c>
      <c r="H45" s="34">
        <f t="shared" si="1"/>
        <v>0.46053702196908053</v>
      </c>
      <c r="I45" s="52"/>
      <c r="L45" s="157"/>
      <c r="M45" s="157"/>
      <c r="N45" s="157"/>
      <c r="O45" s="157"/>
      <c r="P45" s="157"/>
    </row>
    <row r="46" spans="1:16" ht="15" customHeight="1" x14ac:dyDescent="0.3">
      <c r="A46">
        <f t="shared" si="10"/>
        <v>1998</v>
      </c>
      <c r="B46" s="29">
        <v>36130</v>
      </c>
      <c r="C46" s="18">
        <v>736</v>
      </c>
      <c r="D46" s="18">
        <v>1760</v>
      </c>
      <c r="E46" s="19">
        <v>2496</v>
      </c>
      <c r="F46" s="20">
        <f t="shared" si="0"/>
        <v>0.29487179487179488</v>
      </c>
      <c r="G46" s="21">
        <v>1844</v>
      </c>
      <c r="H46" s="22">
        <f t="shared" si="1"/>
        <v>0.39913232104121477</v>
      </c>
      <c r="I46" s="52"/>
      <c r="L46" s="157"/>
      <c r="M46" s="157"/>
      <c r="N46" s="157"/>
      <c r="O46" s="157"/>
      <c r="P46" s="157"/>
    </row>
    <row r="47" spans="1:16" x14ac:dyDescent="0.3">
      <c r="A47">
        <f t="shared" si="10"/>
        <v>1999</v>
      </c>
      <c r="B47" s="29">
        <v>36220</v>
      </c>
      <c r="C47" s="30">
        <v>818</v>
      </c>
      <c r="D47" s="30">
        <v>1177</v>
      </c>
      <c r="E47" s="31">
        <v>1995</v>
      </c>
      <c r="F47" s="32">
        <f t="shared" si="0"/>
        <v>0.41002506265664163</v>
      </c>
      <c r="G47" s="33">
        <v>1816</v>
      </c>
      <c r="H47" s="34">
        <f t="shared" si="1"/>
        <v>0.45044052863436124</v>
      </c>
      <c r="I47" s="52"/>
      <c r="L47" s="157"/>
      <c r="M47" s="157"/>
      <c r="N47" s="157"/>
      <c r="O47" s="157"/>
      <c r="P47" s="157"/>
    </row>
    <row r="48" spans="1:16" x14ac:dyDescent="0.3">
      <c r="A48">
        <f t="shared" si="10"/>
        <v>1999</v>
      </c>
      <c r="B48" s="29">
        <v>36312</v>
      </c>
      <c r="C48" s="18">
        <v>681</v>
      </c>
      <c r="D48" s="18">
        <v>1251</v>
      </c>
      <c r="E48" s="19">
        <v>1932</v>
      </c>
      <c r="F48" s="20">
        <f t="shared" si="0"/>
        <v>0.35248447204968947</v>
      </c>
      <c r="G48" s="21">
        <v>1677</v>
      </c>
      <c r="H48" s="22">
        <f t="shared" si="1"/>
        <v>0.40608228980322003</v>
      </c>
      <c r="I48" s="52"/>
      <c r="L48" s="157"/>
      <c r="M48" s="157"/>
      <c r="N48" s="157"/>
      <c r="O48" s="157"/>
      <c r="P48" s="157"/>
    </row>
    <row r="49" spans="1:9" x14ac:dyDescent="0.3">
      <c r="A49">
        <f t="shared" si="10"/>
        <v>1999</v>
      </c>
      <c r="B49" s="29">
        <v>36404</v>
      </c>
      <c r="C49" s="30">
        <v>683</v>
      </c>
      <c r="D49" s="30">
        <v>1238</v>
      </c>
      <c r="E49" s="31">
        <v>1921</v>
      </c>
      <c r="F49" s="32">
        <f t="shared" si="0"/>
        <v>0.35554398750650701</v>
      </c>
      <c r="G49" s="33">
        <v>1675</v>
      </c>
      <c r="H49" s="34">
        <f t="shared" si="1"/>
        <v>0.40776119402985073</v>
      </c>
      <c r="I49" s="52"/>
    </row>
    <row r="50" spans="1:9" x14ac:dyDescent="0.3">
      <c r="A50">
        <f t="shared" si="10"/>
        <v>1999</v>
      </c>
      <c r="B50" s="29">
        <v>36495</v>
      </c>
      <c r="C50" s="18">
        <v>488</v>
      </c>
      <c r="D50" s="18">
        <v>861</v>
      </c>
      <c r="E50" s="19">
        <v>1349</v>
      </c>
      <c r="F50" s="20">
        <f t="shared" si="0"/>
        <v>0.36174944403261677</v>
      </c>
      <c r="G50" s="21">
        <v>1564</v>
      </c>
      <c r="H50" s="22">
        <f t="shared" si="1"/>
        <v>0.31202046035805625</v>
      </c>
      <c r="I50" s="52"/>
    </row>
    <row r="51" spans="1:9" x14ac:dyDescent="0.3">
      <c r="A51">
        <f t="shared" si="10"/>
        <v>2000</v>
      </c>
      <c r="B51" s="29">
        <v>36586</v>
      </c>
      <c r="C51" s="30">
        <v>356</v>
      </c>
      <c r="D51" s="30">
        <v>699</v>
      </c>
      <c r="E51" s="31">
        <v>1055</v>
      </c>
      <c r="F51" s="32">
        <f t="shared" si="0"/>
        <v>0.33744075829383885</v>
      </c>
      <c r="G51" s="33">
        <v>1276</v>
      </c>
      <c r="H51" s="34">
        <f t="shared" si="1"/>
        <v>0.27899686520376177</v>
      </c>
      <c r="I51" s="52"/>
    </row>
    <row r="52" spans="1:9" x14ac:dyDescent="0.3">
      <c r="A52">
        <f t="shared" si="10"/>
        <v>2000</v>
      </c>
      <c r="B52" s="29">
        <v>36678</v>
      </c>
      <c r="C52" s="18">
        <v>641</v>
      </c>
      <c r="D52" s="18">
        <v>706</v>
      </c>
      <c r="E52" s="19">
        <v>1347</v>
      </c>
      <c r="F52" s="20">
        <f t="shared" si="0"/>
        <v>0.47587230883444692</v>
      </c>
      <c r="G52" s="21">
        <v>1648</v>
      </c>
      <c r="H52" s="22">
        <f t="shared" si="1"/>
        <v>0.38895631067961167</v>
      </c>
      <c r="I52" s="52"/>
    </row>
    <row r="53" spans="1:9" x14ac:dyDescent="0.3">
      <c r="A53">
        <f t="shared" si="10"/>
        <v>2000</v>
      </c>
      <c r="B53" s="29">
        <v>36770</v>
      </c>
      <c r="C53" s="30">
        <v>405</v>
      </c>
      <c r="D53" s="30">
        <v>715</v>
      </c>
      <c r="E53" s="31">
        <v>1120</v>
      </c>
      <c r="F53" s="32">
        <f t="shared" si="0"/>
        <v>0.36160714285714285</v>
      </c>
      <c r="G53" s="33">
        <v>1081</v>
      </c>
      <c r="H53" s="34">
        <f t="shared" si="1"/>
        <v>0.37465309898242366</v>
      </c>
      <c r="I53" s="52"/>
    </row>
    <row r="54" spans="1:9" x14ac:dyDescent="0.3">
      <c r="A54">
        <f t="shared" si="10"/>
        <v>2000</v>
      </c>
      <c r="B54" s="29">
        <v>36861</v>
      </c>
      <c r="C54" s="18">
        <v>472</v>
      </c>
      <c r="D54" s="18">
        <v>925</v>
      </c>
      <c r="E54" s="19">
        <v>1397</v>
      </c>
      <c r="F54" s="20">
        <f t="shared" si="0"/>
        <v>0.33786685755189694</v>
      </c>
      <c r="G54" s="21">
        <v>1591</v>
      </c>
      <c r="H54" s="22">
        <f t="shared" si="1"/>
        <v>0.29666876178504087</v>
      </c>
      <c r="I54" s="52"/>
    </row>
    <row r="55" spans="1:9" x14ac:dyDescent="0.3">
      <c r="A55">
        <f t="shared" si="10"/>
        <v>2001</v>
      </c>
      <c r="B55" s="29">
        <v>36951</v>
      </c>
      <c r="C55" s="30">
        <v>690</v>
      </c>
      <c r="D55" s="30">
        <v>757</v>
      </c>
      <c r="E55" s="31">
        <v>1447</v>
      </c>
      <c r="F55" s="32">
        <f t="shared" si="0"/>
        <v>0.47684865238424329</v>
      </c>
      <c r="G55" s="33">
        <v>1672</v>
      </c>
      <c r="H55" s="34">
        <f t="shared" si="1"/>
        <v>0.41267942583732059</v>
      </c>
      <c r="I55" s="52"/>
    </row>
    <row r="56" spans="1:9" x14ac:dyDescent="0.3">
      <c r="A56">
        <f t="shared" si="10"/>
        <v>2001</v>
      </c>
      <c r="B56" s="29">
        <v>37043</v>
      </c>
      <c r="C56" s="18">
        <v>778</v>
      </c>
      <c r="D56" s="18">
        <v>987</v>
      </c>
      <c r="E56" s="19">
        <v>1765</v>
      </c>
      <c r="F56" s="20">
        <f t="shared" si="0"/>
        <v>0.44079320113314446</v>
      </c>
      <c r="G56" s="21">
        <v>1640</v>
      </c>
      <c r="H56" s="22">
        <f t="shared" si="1"/>
        <v>0.474390243902439</v>
      </c>
      <c r="I56" s="52"/>
    </row>
    <row r="57" spans="1:9" x14ac:dyDescent="0.3">
      <c r="A57">
        <f t="shared" si="10"/>
        <v>2001</v>
      </c>
      <c r="B57" s="29">
        <v>37135</v>
      </c>
      <c r="C57" s="30">
        <v>805</v>
      </c>
      <c r="D57" s="30">
        <v>1010</v>
      </c>
      <c r="E57" s="31">
        <v>1815</v>
      </c>
      <c r="F57" s="32">
        <f t="shared" si="0"/>
        <v>0.44352617079889806</v>
      </c>
      <c r="G57" s="33">
        <v>1676</v>
      </c>
      <c r="H57" s="34">
        <f t="shared" si="1"/>
        <v>0.48031026252983294</v>
      </c>
      <c r="I57" s="52"/>
    </row>
    <row r="58" spans="1:9" x14ac:dyDescent="0.3">
      <c r="A58">
        <f t="shared" si="10"/>
        <v>2001</v>
      </c>
      <c r="B58" s="29">
        <v>37226</v>
      </c>
      <c r="C58" s="18">
        <v>749</v>
      </c>
      <c r="D58" s="18">
        <v>1234</v>
      </c>
      <c r="E58" s="19">
        <v>1983</v>
      </c>
      <c r="F58" s="20">
        <f t="shared" si="0"/>
        <v>0.37771053958648515</v>
      </c>
      <c r="G58" s="21">
        <v>1727</v>
      </c>
      <c r="H58" s="22">
        <f t="shared" si="1"/>
        <v>0.43370005790387955</v>
      </c>
      <c r="I58" s="52"/>
    </row>
    <row r="59" spans="1:9" x14ac:dyDescent="0.3">
      <c r="A59">
        <f t="shared" si="10"/>
        <v>2002</v>
      </c>
      <c r="B59" s="29">
        <v>37316</v>
      </c>
      <c r="C59" s="30">
        <v>532</v>
      </c>
      <c r="D59" s="30">
        <v>1165</v>
      </c>
      <c r="E59" s="31">
        <v>1697</v>
      </c>
      <c r="F59" s="32">
        <f t="shared" si="0"/>
        <v>0.31349440188568062</v>
      </c>
      <c r="G59" s="33">
        <v>1450</v>
      </c>
      <c r="H59" s="34">
        <f t="shared" si="1"/>
        <v>0.36689655172413793</v>
      </c>
      <c r="I59" s="52"/>
    </row>
    <row r="60" spans="1:9" x14ac:dyDescent="0.3">
      <c r="A60">
        <f t="shared" si="10"/>
        <v>2002</v>
      </c>
      <c r="B60" s="29">
        <v>37408</v>
      </c>
      <c r="C60" s="18">
        <v>731</v>
      </c>
      <c r="D60" s="18">
        <v>1370</v>
      </c>
      <c r="E60" s="19">
        <v>2101</v>
      </c>
      <c r="F60" s="20">
        <f t="shared" si="0"/>
        <v>0.34792955735364112</v>
      </c>
      <c r="G60" s="21">
        <v>1849</v>
      </c>
      <c r="H60" s="22">
        <f t="shared" si="1"/>
        <v>0.39534883720930231</v>
      </c>
      <c r="I60" s="52"/>
    </row>
    <row r="61" spans="1:9" x14ac:dyDescent="0.3">
      <c r="A61">
        <f t="shared" si="10"/>
        <v>2002</v>
      </c>
      <c r="B61" s="29">
        <v>37500</v>
      </c>
      <c r="C61" s="30">
        <v>707</v>
      </c>
      <c r="D61" s="30">
        <v>1368</v>
      </c>
      <c r="E61" s="31">
        <v>2075</v>
      </c>
      <c r="F61" s="32">
        <f t="shared" si="0"/>
        <v>0.34072289156626506</v>
      </c>
      <c r="G61" s="33">
        <v>1673</v>
      </c>
      <c r="H61" s="34">
        <f t="shared" si="1"/>
        <v>0.42259414225941422</v>
      </c>
      <c r="I61" s="52"/>
    </row>
    <row r="62" spans="1:9" x14ac:dyDescent="0.3">
      <c r="A62">
        <f t="shared" si="10"/>
        <v>2002</v>
      </c>
      <c r="B62" s="29">
        <v>37591</v>
      </c>
      <c r="C62" s="18">
        <v>882</v>
      </c>
      <c r="D62" s="18">
        <v>1632</v>
      </c>
      <c r="E62" s="19">
        <v>2514</v>
      </c>
      <c r="F62" s="20">
        <f t="shared" si="0"/>
        <v>0.35083532219570407</v>
      </c>
      <c r="G62" s="21">
        <v>2071</v>
      </c>
      <c r="H62" s="22">
        <f t="shared" si="1"/>
        <v>0.42588121680347657</v>
      </c>
      <c r="I62" s="52"/>
    </row>
    <row r="63" spans="1:9" x14ac:dyDescent="0.3">
      <c r="A63">
        <f t="shared" si="10"/>
        <v>2003</v>
      </c>
      <c r="B63" s="29">
        <v>37681</v>
      </c>
      <c r="C63" s="30">
        <v>928</v>
      </c>
      <c r="D63" s="30">
        <v>1131</v>
      </c>
      <c r="E63" s="31">
        <v>2059</v>
      </c>
      <c r="F63" s="32">
        <f t="shared" si="0"/>
        <v>0.45070422535211269</v>
      </c>
      <c r="G63" s="33">
        <v>1918</v>
      </c>
      <c r="H63" s="34">
        <f t="shared" si="1"/>
        <v>0.48383733055265904</v>
      </c>
      <c r="I63" s="52"/>
    </row>
    <row r="64" spans="1:9" x14ac:dyDescent="0.3">
      <c r="A64">
        <f t="shared" si="10"/>
        <v>2003</v>
      </c>
      <c r="B64" s="29">
        <v>37773</v>
      </c>
      <c r="C64" s="18">
        <v>1093</v>
      </c>
      <c r="D64" s="18">
        <v>1474</v>
      </c>
      <c r="E64" s="19">
        <v>2567</v>
      </c>
      <c r="F64" s="20">
        <f t="shared" si="0"/>
        <v>0.42578885858979354</v>
      </c>
      <c r="G64" s="21">
        <v>2320</v>
      </c>
      <c r="H64" s="22">
        <f t="shared" si="1"/>
        <v>0.4711206896551724</v>
      </c>
      <c r="I64" s="52"/>
    </row>
    <row r="65" spans="1:9" x14ac:dyDescent="0.3">
      <c r="A65">
        <f t="shared" si="10"/>
        <v>2003</v>
      </c>
      <c r="B65" s="29">
        <v>37865</v>
      </c>
      <c r="C65" s="30">
        <v>1295</v>
      </c>
      <c r="D65" s="30">
        <v>1169</v>
      </c>
      <c r="E65" s="31">
        <v>2464</v>
      </c>
      <c r="F65" s="32">
        <f t="shared" si="0"/>
        <v>0.52556818181818177</v>
      </c>
      <c r="G65" s="33">
        <v>2484</v>
      </c>
      <c r="H65" s="34">
        <f t="shared" si="1"/>
        <v>0.52133655394524958</v>
      </c>
      <c r="I65" s="52"/>
    </row>
    <row r="66" spans="1:9" x14ac:dyDescent="0.3">
      <c r="A66">
        <f t="shared" si="10"/>
        <v>2003</v>
      </c>
      <c r="B66" s="29">
        <v>37956</v>
      </c>
      <c r="C66" s="18">
        <v>1364</v>
      </c>
      <c r="D66" s="18">
        <v>1502</v>
      </c>
      <c r="E66" s="19">
        <v>2866</v>
      </c>
      <c r="F66" s="20">
        <f t="shared" si="0"/>
        <v>0.47592463363572923</v>
      </c>
      <c r="G66" s="21">
        <v>2875</v>
      </c>
      <c r="H66" s="22">
        <f t="shared" si="1"/>
        <v>0.47443478260869565</v>
      </c>
      <c r="I66" s="52"/>
    </row>
    <row r="67" spans="1:9" x14ac:dyDescent="0.3">
      <c r="A67">
        <f t="shared" si="10"/>
        <v>2004</v>
      </c>
      <c r="B67" s="29">
        <v>38047</v>
      </c>
      <c r="C67" s="30">
        <v>992</v>
      </c>
      <c r="D67" s="30">
        <v>1106</v>
      </c>
      <c r="E67" s="31">
        <v>2098</v>
      </c>
      <c r="F67" s="32">
        <f t="shared" si="0"/>
        <v>0.47283126787416585</v>
      </c>
      <c r="G67" s="33">
        <v>2113</v>
      </c>
      <c r="H67" s="34">
        <f t="shared" si="1"/>
        <v>0.4694746805489825</v>
      </c>
      <c r="I67" s="52"/>
    </row>
    <row r="68" spans="1:9" x14ac:dyDescent="0.3">
      <c r="A68">
        <f t="shared" si="10"/>
        <v>2004</v>
      </c>
      <c r="B68" s="29">
        <v>38139</v>
      </c>
      <c r="C68" s="18">
        <v>1170</v>
      </c>
      <c r="D68" s="18">
        <v>1197</v>
      </c>
      <c r="E68" s="19">
        <v>2367</v>
      </c>
      <c r="F68" s="20">
        <f t="shared" si="0"/>
        <v>0.49429657794676807</v>
      </c>
      <c r="G68" s="21">
        <v>2573</v>
      </c>
      <c r="H68" s="22">
        <f t="shared" si="1"/>
        <v>0.45472211426350562</v>
      </c>
      <c r="I68" s="52"/>
    </row>
    <row r="69" spans="1:9" x14ac:dyDescent="0.3">
      <c r="A69">
        <f t="shared" si="10"/>
        <v>2004</v>
      </c>
      <c r="B69" s="29">
        <v>38231</v>
      </c>
      <c r="C69" s="30">
        <v>1282</v>
      </c>
      <c r="D69" s="30">
        <v>1231</v>
      </c>
      <c r="E69" s="31">
        <v>2513</v>
      </c>
      <c r="F69" s="32">
        <f t="shared" si="0"/>
        <v>0.51014723438121767</v>
      </c>
      <c r="G69" s="33">
        <v>2570</v>
      </c>
      <c r="H69" s="34">
        <f t="shared" si="1"/>
        <v>0.49883268482490273</v>
      </c>
      <c r="I69" s="52"/>
    </row>
    <row r="70" spans="1:9" x14ac:dyDescent="0.3">
      <c r="A70">
        <f t="shared" si="10"/>
        <v>2004</v>
      </c>
      <c r="B70" s="29">
        <v>38322</v>
      </c>
      <c r="C70" s="18">
        <v>1380</v>
      </c>
      <c r="D70" s="18">
        <v>1375</v>
      </c>
      <c r="E70" s="19">
        <v>2755</v>
      </c>
      <c r="F70" s="20">
        <f t="shared" si="0"/>
        <v>0.50090744101633389</v>
      </c>
      <c r="G70" s="21">
        <v>3043</v>
      </c>
      <c r="H70" s="22">
        <f t="shared" si="1"/>
        <v>0.4534998356884653</v>
      </c>
      <c r="I70" s="52"/>
    </row>
    <row r="71" spans="1:9" x14ac:dyDescent="0.3">
      <c r="A71">
        <f t="shared" si="10"/>
        <v>2005</v>
      </c>
      <c r="B71" s="29">
        <v>38412</v>
      </c>
      <c r="C71" s="30">
        <v>1174</v>
      </c>
      <c r="D71" s="30">
        <v>1188</v>
      </c>
      <c r="E71" s="31">
        <v>2362</v>
      </c>
      <c r="F71" s="32">
        <f t="shared" si="0"/>
        <v>0.49703640982218461</v>
      </c>
      <c r="G71" s="33">
        <v>2681</v>
      </c>
      <c r="H71" s="34">
        <f t="shared" si="1"/>
        <v>0.4378963073480045</v>
      </c>
      <c r="I71" s="52"/>
    </row>
    <row r="72" spans="1:9" x14ac:dyDescent="0.3">
      <c r="A72">
        <f t="shared" si="10"/>
        <v>2005</v>
      </c>
      <c r="B72" s="29">
        <v>38504</v>
      </c>
      <c r="C72" s="18">
        <v>1469</v>
      </c>
      <c r="D72" s="18">
        <v>1744</v>
      </c>
      <c r="E72" s="19">
        <v>3213</v>
      </c>
      <c r="F72" s="20">
        <f t="shared" ref="F72:F135" si="15">C72/E72</f>
        <v>0.4572051042639278</v>
      </c>
      <c r="G72" s="21">
        <v>2949</v>
      </c>
      <c r="H72" s="22">
        <f t="shared" ref="H72:H135" si="16">IFERROR(C72/G72,"n/a")</f>
        <v>0.49813496100373006</v>
      </c>
      <c r="I72" s="52"/>
    </row>
    <row r="73" spans="1:9" x14ac:dyDescent="0.3">
      <c r="A73">
        <f t="shared" ref="A73:A137" si="17">YEAR(B73)</f>
        <v>2005</v>
      </c>
      <c r="B73" s="29">
        <v>38596</v>
      </c>
      <c r="C73" s="30">
        <v>1865</v>
      </c>
      <c r="D73" s="30">
        <v>1837</v>
      </c>
      <c r="E73" s="31">
        <v>3702</v>
      </c>
      <c r="F73" s="32">
        <f t="shared" si="15"/>
        <v>0.50378173960021611</v>
      </c>
      <c r="G73" s="33">
        <v>3636</v>
      </c>
      <c r="H73" s="34">
        <f t="shared" si="16"/>
        <v>0.51292629262926293</v>
      </c>
      <c r="I73" s="52"/>
    </row>
    <row r="74" spans="1:9" x14ac:dyDescent="0.3">
      <c r="A74">
        <f t="shared" si="17"/>
        <v>2005</v>
      </c>
      <c r="B74" s="29">
        <v>38687</v>
      </c>
      <c r="C74" s="18">
        <v>2573</v>
      </c>
      <c r="D74" s="18">
        <v>2393</v>
      </c>
      <c r="E74" s="19">
        <v>4966</v>
      </c>
      <c r="F74" s="20">
        <f t="shared" si="15"/>
        <v>0.518123238018526</v>
      </c>
      <c r="G74" s="21">
        <v>4480</v>
      </c>
      <c r="H74" s="22">
        <f t="shared" si="16"/>
        <v>0.57433035714285718</v>
      </c>
      <c r="I74" s="52"/>
    </row>
    <row r="75" spans="1:9" x14ac:dyDescent="0.3">
      <c r="A75">
        <f t="shared" si="17"/>
        <v>2006</v>
      </c>
      <c r="B75" s="29">
        <v>38777</v>
      </c>
      <c r="C75" s="30">
        <v>2601</v>
      </c>
      <c r="D75" s="30">
        <v>2277</v>
      </c>
      <c r="E75" s="31">
        <v>4878</v>
      </c>
      <c r="F75" s="32">
        <f t="shared" si="15"/>
        <v>0.53321033210332103</v>
      </c>
      <c r="G75" s="33">
        <v>4308</v>
      </c>
      <c r="H75" s="34">
        <f t="shared" si="16"/>
        <v>0.60376044568245124</v>
      </c>
      <c r="I75" s="52"/>
    </row>
    <row r="76" spans="1:9" x14ac:dyDescent="0.3">
      <c r="A76">
        <f t="shared" si="17"/>
        <v>2006</v>
      </c>
      <c r="B76" s="29">
        <v>38869</v>
      </c>
      <c r="C76" s="18">
        <v>3699</v>
      </c>
      <c r="D76" s="18">
        <v>2414</v>
      </c>
      <c r="E76" s="19">
        <v>6113</v>
      </c>
      <c r="F76" s="20">
        <f t="shared" si="15"/>
        <v>0.60510387698347778</v>
      </c>
      <c r="G76" s="21">
        <v>5747</v>
      </c>
      <c r="H76" s="22">
        <f t="shared" si="16"/>
        <v>0.64364016008352187</v>
      </c>
      <c r="I76" s="52"/>
    </row>
    <row r="77" spans="1:9" x14ac:dyDescent="0.3">
      <c r="A77">
        <f t="shared" si="17"/>
        <v>2006</v>
      </c>
      <c r="B77" s="29">
        <v>38961</v>
      </c>
      <c r="C77" s="30">
        <v>2876</v>
      </c>
      <c r="D77" s="30">
        <v>2070</v>
      </c>
      <c r="E77" s="31">
        <v>4946</v>
      </c>
      <c r="F77" s="32">
        <f t="shared" si="15"/>
        <v>0.58147998382531341</v>
      </c>
      <c r="G77" s="33">
        <v>4567</v>
      </c>
      <c r="H77" s="34">
        <f t="shared" si="16"/>
        <v>0.62973505583534051</v>
      </c>
      <c r="I77" s="52"/>
    </row>
    <row r="78" spans="1:9" x14ac:dyDescent="0.3">
      <c r="A78">
        <f t="shared" si="17"/>
        <v>2006</v>
      </c>
      <c r="B78" s="29">
        <v>39052</v>
      </c>
      <c r="C78" s="18">
        <v>3675</v>
      </c>
      <c r="D78" s="18">
        <v>2564</v>
      </c>
      <c r="E78" s="19">
        <v>6239</v>
      </c>
      <c r="F78" s="20">
        <f t="shared" si="15"/>
        <v>0.58903670460009616</v>
      </c>
      <c r="G78" s="21">
        <v>5618</v>
      </c>
      <c r="H78" s="22">
        <f t="shared" si="16"/>
        <v>0.65414738341046641</v>
      </c>
      <c r="I78" s="52"/>
    </row>
    <row r="79" spans="1:9" x14ac:dyDescent="0.3">
      <c r="A79">
        <f t="shared" si="17"/>
        <v>2007</v>
      </c>
      <c r="B79" s="29">
        <v>39142</v>
      </c>
      <c r="C79" s="30">
        <v>3307</v>
      </c>
      <c r="D79" s="30">
        <v>2184</v>
      </c>
      <c r="E79" s="31">
        <v>5491</v>
      </c>
      <c r="F79" s="32">
        <f t="shared" si="15"/>
        <v>0.60225824075760337</v>
      </c>
      <c r="G79" s="33">
        <v>5301</v>
      </c>
      <c r="H79" s="34">
        <f t="shared" si="16"/>
        <v>0.62384455763063573</v>
      </c>
      <c r="I79" s="52"/>
    </row>
    <row r="80" spans="1:9" x14ac:dyDescent="0.3">
      <c r="A80">
        <f t="shared" si="17"/>
        <v>2007</v>
      </c>
      <c r="B80" s="29">
        <v>39234</v>
      </c>
      <c r="C80" s="18">
        <v>3982</v>
      </c>
      <c r="D80" s="18">
        <v>2963</v>
      </c>
      <c r="E80" s="19">
        <v>6945</v>
      </c>
      <c r="F80" s="20">
        <f t="shared" si="15"/>
        <v>0.57336213102951761</v>
      </c>
      <c r="G80" s="21">
        <v>6613</v>
      </c>
      <c r="H80" s="22">
        <f t="shared" si="16"/>
        <v>0.60214728564947828</v>
      </c>
      <c r="I80" s="52"/>
    </row>
    <row r="81" spans="1:9" x14ac:dyDescent="0.3">
      <c r="A81">
        <f t="shared" si="17"/>
        <v>2007</v>
      </c>
      <c r="B81" s="29">
        <v>39326</v>
      </c>
      <c r="C81" s="30">
        <v>3666</v>
      </c>
      <c r="D81" s="30">
        <v>2500</v>
      </c>
      <c r="E81" s="31">
        <v>6166</v>
      </c>
      <c r="F81" s="32">
        <f t="shared" si="15"/>
        <v>0.59455076224456693</v>
      </c>
      <c r="G81" s="33">
        <v>5661</v>
      </c>
      <c r="H81" s="34">
        <f t="shared" si="16"/>
        <v>0.64758876523582409</v>
      </c>
      <c r="I81" s="52"/>
    </row>
    <row r="82" spans="1:9" x14ac:dyDescent="0.3">
      <c r="A82">
        <f t="shared" si="17"/>
        <v>2007</v>
      </c>
      <c r="B82" s="29">
        <v>39417</v>
      </c>
      <c r="C82" s="18">
        <v>4319</v>
      </c>
      <c r="D82" s="18">
        <v>3215</v>
      </c>
      <c r="E82" s="19">
        <v>7534</v>
      </c>
      <c r="F82" s="20">
        <f t="shared" si="15"/>
        <v>0.57326785240244227</v>
      </c>
      <c r="G82" s="21">
        <v>6798</v>
      </c>
      <c r="H82" s="22">
        <f t="shared" si="16"/>
        <v>0.63533392174168868</v>
      </c>
      <c r="I82" s="52"/>
    </row>
    <row r="83" spans="1:9" x14ac:dyDescent="0.3">
      <c r="A83">
        <f t="shared" si="17"/>
        <v>2008</v>
      </c>
      <c r="B83" s="29">
        <v>39508</v>
      </c>
      <c r="C83" s="30">
        <v>4318</v>
      </c>
      <c r="D83" s="30">
        <v>2404</v>
      </c>
      <c r="E83" s="31">
        <v>6722</v>
      </c>
      <c r="F83" s="32">
        <f t="shared" si="15"/>
        <v>0.64236834275513244</v>
      </c>
      <c r="G83" s="33">
        <v>6178</v>
      </c>
      <c r="H83" s="34">
        <f t="shared" si="16"/>
        <v>0.6989316931045646</v>
      </c>
      <c r="I83" s="52"/>
    </row>
    <row r="84" spans="1:9" x14ac:dyDescent="0.3">
      <c r="A84">
        <f t="shared" si="17"/>
        <v>2008</v>
      </c>
      <c r="B84" s="29">
        <v>39600</v>
      </c>
      <c r="C84" s="18">
        <v>5047</v>
      </c>
      <c r="D84" s="18">
        <v>3732</v>
      </c>
      <c r="E84" s="19">
        <v>8779</v>
      </c>
      <c r="F84" s="20">
        <f t="shared" si="15"/>
        <v>0.57489463492425108</v>
      </c>
      <c r="G84" s="21">
        <v>7343</v>
      </c>
      <c r="H84" s="22">
        <f t="shared" si="16"/>
        <v>0.68732125834127744</v>
      </c>
      <c r="I84" s="52"/>
    </row>
    <row r="85" spans="1:9" x14ac:dyDescent="0.3">
      <c r="A85">
        <f t="shared" si="17"/>
        <v>2008</v>
      </c>
      <c r="B85" s="29">
        <v>39692</v>
      </c>
      <c r="C85" s="30">
        <v>5463</v>
      </c>
      <c r="D85" s="30">
        <v>3109</v>
      </c>
      <c r="E85" s="31">
        <v>8572</v>
      </c>
      <c r="F85" s="32">
        <f t="shared" si="15"/>
        <v>0.63730751283247788</v>
      </c>
      <c r="G85" s="33">
        <v>7629</v>
      </c>
      <c r="H85" s="34">
        <f t="shared" si="16"/>
        <v>0.71608336610302792</v>
      </c>
      <c r="I85" s="52"/>
    </row>
    <row r="86" spans="1:9" x14ac:dyDescent="0.3">
      <c r="A86">
        <f t="shared" si="17"/>
        <v>2008</v>
      </c>
      <c r="B86" s="29">
        <v>39783</v>
      </c>
      <c r="C86" s="18">
        <v>6710</v>
      </c>
      <c r="D86" s="18">
        <v>4332</v>
      </c>
      <c r="E86" s="19">
        <v>11042</v>
      </c>
      <c r="F86" s="20">
        <f t="shared" si="15"/>
        <v>0.60767976815794245</v>
      </c>
      <c r="G86" s="21">
        <v>9494</v>
      </c>
      <c r="H86" s="22">
        <f t="shared" si="16"/>
        <v>0.70676216557825999</v>
      </c>
      <c r="I86" s="52"/>
    </row>
    <row r="87" spans="1:9" x14ac:dyDescent="0.3">
      <c r="A87">
        <f t="shared" si="17"/>
        <v>2009</v>
      </c>
      <c r="B87" s="29">
        <v>39873</v>
      </c>
      <c r="C87" s="30">
        <v>5354</v>
      </c>
      <c r="D87" s="30">
        <v>3736</v>
      </c>
      <c r="E87" s="31">
        <v>9090</v>
      </c>
      <c r="F87" s="32">
        <f t="shared" si="15"/>
        <v>0.58899889988998899</v>
      </c>
      <c r="G87" s="33">
        <v>7379</v>
      </c>
      <c r="H87" s="34">
        <f t="shared" si="16"/>
        <v>0.72557257080905269</v>
      </c>
      <c r="I87" s="52"/>
    </row>
    <row r="88" spans="1:9" x14ac:dyDescent="0.3">
      <c r="A88">
        <f t="shared" si="17"/>
        <v>2009</v>
      </c>
      <c r="B88" s="29">
        <v>39965</v>
      </c>
      <c r="C88" s="18">
        <v>5879</v>
      </c>
      <c r="D88" s="18">
        <v>3394</v>
      </c>
      <c r="E88" s="19">
        <v>9273</v>
      </c>
      <c r="F88" s="20">
        <f t="shared" si="15"/>
        <v>0.63399115712282972</v>
      </c>
      <c r="G88" s="21">
        <v>9564</v>
      </c>
      <c r="H88" s="22">
        <f t="shared" si="16"/>
        <v>0.61470096194061064</v>
      </c>
      <c r="I88" s="52"/>
    </row>
    <row r="89" spans="1:9" x14ac:dyDescent="0.3">
      <c r="A89">
        <f t="shared" si="17"/>
        <v>2009</v>
      </c>
      <c r="B89" s="29">
        <v>40057</v>
      </c>
      <c r="C89" s="30">
        <v>5100</v>
      </c>
      <c r="D89" s="30">
        <v>2861</v>
      </c>
      <c r="E89" s="31">
        <v>7961</v>
      </c>
      <c r="F89" s="32">
        <f t="shared" si="15"/>
        <v>0.64062303730687098</v>
      </c>
      <c r="G89" s="33">
        <v>7254</v>
      </c>
      <c r="H89" s="34">
        <f t="shared" si="16"/>
        <v>0.70306038047973529</v>
      </c>
      <c r="I89" s="62"/>
    </row>
    <row r="90" spans="1:9" x14ac:dyDescent="0.3">
      <c r="A90">
        <f t="shared" si="17"/>
        <v>2009</v>
      </c>
      <c r="B90" s="29">
        <v>40148</v>
      </c>
      <c r="C90" s="18">
        <v>5385</v>
      </c>
      <c r="D90" s="18">
        <v>3941</v>
      </c>
      <c r="E90" s="19">
        <v>9326</v>
      </c>
      <c r="F90" s="20">
        <f t="shared" si="15"/>
        <v>0.57741797126313532</v>
      </c>
      <c r="G90" s="21">
        <v>8191</v>
      </c>
      <c r="H90" s="22">
        <f t="shared" si="16"/>
        <v>0.65742888536198263</v>
      </c>
      <c r="I90" s="52"/>
    </row>
    <row r="91" spans="1:9" x14ac:dyDescent="0.3">
      <c r="A91">
        <f t="shared" si="17"/>
        <v>2010</v>
      </c>
      <c r="B91" s="29">
        <v>40238</v>
      </c>
      <c r="C91" s="30">
        <v>5335</v>
      </c>
      <c r="D91" s="30">
        <v>2753</v>
      </c>
      <c r="E91" s="31">
        <v>8088</v>
      </c>
      <c r="F91" s="32">
        <f t="shared" si="15"/>
        <v>0.65961918892185956</v>
      </c>
      <c r="G91" s="33">
        <v>7368</v>
      </c>
      <c r="H91" s="34">
        <f t="shared" si="16"/>
        <v>0.72407709011943544</v>
      </c>
      <c r="I91" s="52"/>
    </row>
    <row r="92" spans="1:9" x14ac:dyDescent="0.3">
      <c r="A92">
        <f t="shared" si="17"/>
        <v>2010</v>
      </c>
      <c r="B92" s="29">
        <v>40330</v>
      </c>
      <c r="C92" s="18">
        <v>6108</v>
      </c>
      <c r="D92" s="18">
        <v>3702</v>
      </c>
      <c r="E92" s="19">
        <v>9810</v>
      </c>
      <c r="F92" s="20">
        <f t="shared" si="15"/>
        <v>0.62262996941896021</v>
      </c>
      <c r="G92" s="21">
        <v>8594</v>
      </c>
      <c r="H92" s="22">
        <f t="shared" si="16"/>
        <v>0.71072841517337682</v>
      </c>
      <c r="I92" s="52"/>
    </row>
    <row r="93" spans="1:9" x14ac:dyDescent="0.3">
      <c r="A93">
        <f t="shared" si="17"/>
        <v>2010</v>
      </c>
      <c r="B93" s="29">
        <v>40422</v>
      </c>
      <c r="C93" s="30">
        <v>6452</v>
      </c>
      <c r="D93" s="30">
        <v>3968</v>
      </c>
      <c r="E93" s="31">
        <v>10420</v>
      </c>
      <c r="F93" s="32">
        <f t="shared" si="15"/>
        <v>0.61919385796545101</v>
      </c>
      <c r="G93" s="33">
        <v>8532</v>
      </c>
      <c r="H93" s="34">
        <f t="shared" si="16"/>
        <v>0.75621190811064232</v>
      </c>
      <c r="I93" s="52"/>
    </row>
    <row r="94" spans="1:9" x14ac:dyDescent="0.3">
      <c r="A94">
        <f t="shared" si="17"/>
        <v>2010</v>
      </c>
      <c r="B94" s="29">
        <v>40513</v>
      </c>
      <c r="C94" s="18">
        <v>6801</v>
      </c>
      <c r="D94" s="18">
        <v>4742</v>
      </c>
      <c r="E94" s="19">
        <v>11543</v>
      </c>
      <c r="F94" s="20">
        <f t="shared" si="15"/>
        <v>0.5891882526206359</v>
      </c>
      <c r="G94" s="21">
        <v>9284</v>
      </c>
      <c r="H94" s="22">
        <f t="shared" si="16"/>
        <v>0.73255062473071952</v>
      </c>
      <c r="I94" s="52"/>
    </row>
    <row r="95" spans="1:9" x14ac:dyDescent="0.3">
      <c r="A95">
        <f t="shared" si="17"/>
        <v>2011</v>
      </c>
      <c r="B95" s="29">
        <v>40603</v>
      </c>
      <c r="C95" s="30">
        <v>6577</v>
      </c>
      <c r="D95" s="30">
        <v>3948</v>
      </c>
      <c r="E95" s="31">
        <v>10525</v>
      </c>
      <c r="F95" s="32">
        <f t="shared" si="15"/>
        <v>0.62489311163895489</v>
      </c>
      <c r="G95" s="33">
        <v>8785</v>
      </c>
      <c r="H95" s="34">
        <f t="shared" si="16"/>
        <v>0.74866249288560049</v>
      </c>
      <c r="I95" s="52"/>
    </row>
    <row r="96" spans="1:9" x14ac:dyDescent="0.3">
      <c r="A96">
        <f t="shared" si="17"/>
        <v>2011</v>
      </c>
      <c r="B96" s="29">
        <v>40695</v>
      </c>
      <c r="C96" s="18">
        <v>8463</v>
      </c>
      <c r="D96" s="18">
        <v>5896</v>
      </c>
      <c r="E96" s="19">
        <v>14359</v>
      </c>
      <c r="F96" s="20">
        <f t="shared" si="15"/>
        <v>0.58938644752420088</v>
      </c>
      <c r="G96" s="21">
        <v>11054</v>
      </c>
      <c r="H96" s="22">
        <f t="shared" si="16"/>
        <v>0.7656052107834268</v>
      </c>
      <c r="I96" s="52"/>
    </row>
    <row r="97" spans="1:9" x14ac:dyDescent="0.3">
      <c r="A97">
        <f t="shared" si="17"/>
        <v>2011</v>
      </c>
      <c r="B97" s="29">
        <v>40787</v>
      </c>
      <c r="C97" s="30">
        <v>9539</v>
      </c>
      <c r="D97" s="30">
        <v>7759</v>
      </c>
      <c r="E97" s="31">
        <v>17298</v>
      </c>
      <c r="F97" s="32">
        <f t="shared" si="15"/>
        <v>0.5514510348017112</v>
      </c>
      <c r="G97" s="33">
        <v>12246</v>
      </c>
      <c r="H97" s="34">
        <f t="shared" si="16"/>
        <v>0.77894822799281394</v>
      </c>
      <c r="I97" s="52"/>
    </row>
    <row r="98" spans="1:9" x14ac:dyDescent="0.3">
      <c r="A98">
        <f t="shared" si="17"/>
        <v>2011</v>
      </c>
      <c r="B98" s="29">
        <v>40878</v>
      </c>
      <c r="C98" s="18">
        <v>10452</v>
      </c>
      <c r="D98" s="18">
        <v>9488</v>
      </c>
      <c r="E98" s="19">
        <v>19940</v>
      </c>
      <c r="F98" s="20">
        <f t="shared" si="15"/>
        <v>0.52417251755265792</v>
      </c>
      <c r="G98" s="21">
        <v>13673</v>
      </c>
      <c r="H98" s="22">
        <f t="shared" si="16"/>
        <v>0.76442624149784244</v>
      </c>
      <c r="I98" s="52"/>
    </row>
    <row r="99" spans="1:9" x14ac:dyDescent="0.3">
      <c r="A99">
        <f t="shared" si="17"/>
        <v>2012</v>
      </c>
      <c r="B99" s="29">
        <v>40969</v>
      </c>
      <c r="C99" s="30">
        <v>10922</v>
      </c>
      <c r="D99" s="30">
        <v>8690</v>
      </c>
      <c r="E99" s="31">
        <v>19612</v>
      </c>
      <c r="F99" s="32">
        <f t="shared" si="15"/>
        <v>0.55690393636549052</v>
      </c>
      <c r="G99" s="33">
        <v>13781</v>
      </c>
      <c r="H99" s="34">
        <f t="shared" si="16"/>
        <v>0.7925404542486032</v>
      </c>
      <c r="I99" s="52"/>
    </row>
    <row r="100" spans="1:9" x14ac:dyDescent="0.3">
      <c r="A100">
        <f t="shared" si="17"/>
        <v>2012</v>
      </c>
      <c r="B100" s="29">
        <v>41061</v>
      </c>
      <c r="C100" s="18">
        <v>14158</v>
      </c>
      <c r="D100" s="18">
        <v>10989</v>
      </c>
      <c r="E100" s="19">
        <v>25147</v>
      </c>
      <c r="F100" s="20">
        <f t="shared" si="15"/>
        <v>0.56300950411579909</v>
      </c>
      <c r="G100" s="21">
        <v>17379</v>
      </c>
      <c r="H100" s="22">
        <f t="shared" si="16"/>
        <v>0.81466137292134189</v>
      </c>
      <c r="I100" s="52"/>
    </row>
    <row r="101" spans="1:9" x14ac:dyDescent="0.3">
      <c r="A101">
        <f t="shared" si="17"/>
        <v>2012</v>
      </c>
      <c r="B101" s="29">
        <v>41153</v>
      </c>
      <c r="C101" s="30">
        <v>12757</v>
      </c>
      <c r="D101" s="30">
        <v>10919</v>
      </c>
      <c r="E101" s="31">
        <v>23676</v>
      </c>
      <c r="F101" s="32">
        <f t="shared" si="15"/>
        <v>0.5388156783240412</v>
      </c>
      <c r="G101" s="33">
        <v>15594</v>
      </c>
      <c r="H101" s="34">
        <f t="shared" si="16"/>
        <v>0.81807105296909066</v>
      </c>
      <c r="I101" s="52"/>
    </row>
    <row r="102" spans="1:9" x14ac:dyDescent="0.3">
      <c r="A102">
        <f t="shared" si="17"/>
        <v>2012</v>
      </c>
      <c r="B102" s="29">
        <v>41244</v>
      </c>
      <c r="C102" s="18">
        <v>13203</v>
      </c>
      <c r="D102" s="18">
        <v>12842</v>
      </c>
      <c r="E102" s="19">
        <v>26045</v>
      </c>
      <c r="F102" s="20">
        <f t="shared" si="15"/>
        <v>0.50693031291994628</v>
      </c>
      <c r="G102" s="21">
        <v>16372</v>
      </c>
      <c r="H102" s="22">
        <f t="shared" si="16"/>
        <v>0.80643782066943559</v>
      </c>
      <c r="I102" s="52"/>
    </row>
    <row r="103" spans="1:9" x14ac:dyDescent="0.3">
      <c r="A103">
        <f t="shared" si="17"/>
        <v>2013</v>
      </c>
      <c r="B103" s="29">
        <v>41334</v>
      </c>
      <c r="C103" s="30">
        <v>9733</v>
      </c>
      <c r="D103" s="30">
        <v>10901</v>
      </c>
      <c r="E103" s="31">
        <v>20634</v>
      </c>
      <c r="F103" s="32">
        <f t="shared" si="15"/>
        <v>0.47169719879810024</v>
      </c>
      <c r="G103" s="33">
        <v>12082</v>
      </c>
      <c r="H103" s="34">
        <f t="shared" si="16"/>
        <v>0.80557854659824535</v>
      </c>
      <c r="I103" s="52"/>
    </row>
    <row r="104" spans="1:9" x14ac:dyDescent="0.3">
      <c r="A104">
        <f t="shared" si="17"/>
        <v>2013</v>
      </c>
      <c r="B104" s="29">
        <v>41426</v>
      </c>
      <c r="C104" s="18">
        <v>12507</v>
      </c>
      <c r="D104" s="18">
        <v>11847</v>
      </c>
      <c r="E104" s="19">
        <v>24354</v>
      </c>
      <c r="F104" s="20">
        <f t="shared" si="15"/>
        <v>0.51355013550135498</v>
      </c>
      <c r="G104" s="21">
        <v>15182</v>
      </c>
      <c r="H104" s="22">
        <f t="shared" si="16"/>
        <v>0.82380450533526539</v>
      </c>
      <c r="I104" s="52"/>
    </row>
    <row r="105" spans="1:9" x14ac:dyDescent="0.3">
      <c r="A105">
        <f t="shared" si="17"/>
        <v>2013</v>
      </c>
      <c r="B105" s="29">
        <v>41518</v>
      </c>
      <c r="C105" s="30">
        <v>12245</v>
      </c>
      <c r="D105" s="30">
        <v>11958</v>
      </c>
      <c r="E105" s="31">
        <v>24203</v>
      </c>
      <c r="F105" s="32">
        <f t="shared" si="15"/>
        <v>0.50592901706400029</v>
      </c>
      <c r="G105" s="33">
        <v>14810</v>
      </c>
      <c r="H105" s="34">
        <f t="shared" si="16"/>
        <v>0.82680621201890614</v>
      </c>
      <c r="I105" s="52"/>
    </row>
    <row r="106" spans="1:9" x14ac:dyDescent="0.3">
      <c r="A106">
        <f t="shared" si="17"/>
        <v>2013</v>
      </c>
      <c r="B106" s="29">
        <v>41609</v>
      </c>
      <c r="C106" s="18">
        <v>12301</v>
      </c>
      <c r="D106" s="18">
        <v>12406</v>
      </c>
      <c r="E106" s="19">
        <v>24707</v>
      </c>
      <c r="F106" s="20">
        <f t="shared" si="15"/>
        <v>0.4978750961266038</v>
      </c>
      <c r="G106" s="21">
        <v>14913</v>
      </c>
      <c r="H106" s="22">
        <f t="shared" si="16"/>
        <v>0.82485080131428956</v>
      </c>
      <c r="I106" s="52"/>
    </row>
    <row r="107" spans="1:9" x14ac:dyDescent="0.3">
      <c r="A107">
        <f t="shared" si="17"/>
        <v>2014</v>
      </c>
      <c r="B107" s="29">
        <v>41699</v>
      </c>
      <c r="C107" s="30">
        <v>10246</v>
      </c>
      <c r="D107" s="30">
        <v>8846</v>
      </c>
      <c r="E107" s="31">
        <v>19092</v>
      </c>
      <c r="F107" s="32">
        <f t="shared" si="15"/>
        <v>0.5366645715482925</v>
      </c>
      <c r="G107" s="33">
        <v>12609</v>
      </c>
      <c r="H107" s="34">
        <f t="shared" si="16"/>
        <v>0.81259417876120232</v>
      </c>
      <c r="I107" s="52"/>
    </row>
    <row r="108" spans="1:9" x14ac:dyDescent="0.3">
      <c r="A108">
        <f t="shared" si="17"/>
        <v>2014</v>
      </c>
      <c r="B108" s="29">
        <v>41791</v>
      </c>
      <c r="C108" s="18">
        <v>11967</v>
      </c>
      <c r="D108" s="18">
        <v>10423</v>
      </c>
      <c r="E108" s="19">
        <v>22390</v>
      </c>
      <c r="F108" s="20">
        <f t="shared" si="15"/>
        <v>0.53447967842786959</v>
      </c>
      <c r="G108" s="21">
        <v>14636</v>
      </c>
      <c r="H108" s="22">
        <f t="shared" si="16"/>
        <v>0.81764143208526918</v>
      </c>
      <c r="I108" s="52"/>
    </row>
    <row r="109" spans="1:9" x14ac:dyDescent="0.3">
      <c r="A109">
        <f t="shared" si="17"/>
        <v>2014</v>
      </c>
      <c r="B109" s="29">
        <v>41883</v>
      </c>
      <c r="C109" s="30">
        <v>11785</v>
      </c>
      <c r="D109" s="30">
        <v>9022</v>
      </c>
      <c r="E109" s="31">
        <v>20807</v>
      </c>
      <c r="F109" s="32">
        <f t="shared" si="15"/>
        <v>0.56639592444850295</v>
      </c>
      <c r="G109" s="33">
        <v>14505</v>
      </c>
      <c r="H109" s="34">
        <f t="shared" si="16"/>
        <v>0.81247845570492938</v>
      </c>
      <c r="I109" s="52"/>
    </row>
    <row r="110" spans="1:9" x14ac:dyDescent="0.3">
      <c r="A110">
        <f t="shared" si="17"/>
        <v>2014</v>
      </c>
      <c r="B110" s="29">
        <v>41974</v>
      </c>
      <c r="C110" s="18">
        <v>12213</v>
      </c>
      <c r="D110" s="18">
        <v>9044</v>
      </c>
      <c r="E110" s="19">
        <v>21257</v>
      </c>
      <c r="F110" s="20">
        <f t="shared" si="15"/>
        <v>0.57454015147951265</v>
      </c>
      <c r="G110" s="21">
        <v>15181</v>
      </c>
      <c r="H110" s="22">
        <f t="shared" si="16"/>
        <v>0.80449245767735988</v>
      </c>
      <c r="I110" s="52"/>
    </row>
    <row r="111" spans="1:9" x14ac:dyDescent="0.3">
      <c r="A111">
        <f t="shared" si="17"/>
        <v>2015</v>
      </c>
      <c r="B111" s="29">
        <v>42064</v>
      </c>
      <c r="C111" s="30">
        <v>10737</v>
      </c>
      <c r="D111" s="30">
        <v>6074</v>
      </c>
      <c r="E111" s="31">
        <v>16811</v>
      </c>
      <c r="F111" s="32">
        <f t="shared" si="15"/>
        <v>0.63868895366129319</v>
      </c>
      <c r="G111" s="33">
        <v>12835</v>
      </c>
      <c r="H111" s="34">
        <f t="shared" si="16"/>
        <v>0.83654070899883137</v>
      </c>
      <c r="I111" s="52"/>
    </row>
    <row r="112" spans="1:9" x14ac:dyDescent="0.3">
      <c r="A112">
        <f t="shared" si="17"/>
        <v>2015</v>
      </c>
      <c r="B112" s="29">
        <v>42156</v>
      </c>
      <c r="C112" s="18">
        <v>11255</v>
      </c>
      <c r="D112" s="18">
        <v>5987</v>
      </c>
      <c r="E112" s="19">
        <v>17242</v>
      </c>
      <c r="F112" s="20">
        <f t="shared" si="15"/>
        <v>0.65276650040598538</v>
      </c>
      <c r="G112" s="21">
        <v>13707</v>
      </c>
      <c r="H112" s="22">
        <f t="shared" si="16"/>
        <v>0.82111329977383818</v>
      </c>
      <c r="I112" s="52"/>
    </row>
    <row r="113" spans="1:12" x14ac:dyDescent="0.3">
      <c r="A113">
        <f t="shared" si="17"/>
        <v>2015</v>
      </c>
      <c r="B113" s="29">
        <v>42248</v>
      </c>
      <c r="C113" s="30">
        <v>9813</v>
      </c>
      <c r="D113" s="30">
        <v>5075</v>
      </c>
      <c r="E113" s="31">
        <v>14888</v>
      </c>
      <c r="F113" s="32">
        <f t="shared" si="15"/>
        <v>0.65912144008597529</v>
      </c>
      <c r="G113" s="33">
        <v>12165</v>
      </c>
      <c r="H113" s="34">
        <f t="shared" si="16"/>
        <v>0.80665844636251538</v>
      </c>
      <c r="I113" s="52"/>
    </row>
    <row r="114" spans="1:12" x14ac:dyDescent="0.3">
      <c r="A114">
        <f t="shared" si="17"/>
        <v>2015</v>
      </c>
      <c r="B114" s="29">
        <v>42339</v>
      </c>
      <c r="C114" s="18">
        <v>10579</v>
      </c>
      <c r="D114" s="18">
        <v>5648</v>
      </c>
      <c r="E114" s="19">
        <v>16227</v>
      </c>
      <c r="F114" s="20">
        <f t="shared" si="15"/>
        <v>0.65193812781167193</v>
      </c>
      <c r="G114" s="21">
        <v>13162</v>
      </c>
      <c r="H114" s="22">
        <f t="shared" si="16"/>
        <v>0.8037532289925543</v>
      </c>
      <c r="I114" s="52"/>
    </row>
    <row r="115" spans="1:12" x14ac:dyDescent="0.3">
      <c r="A115">
        <f t="shared" si="17"/>
        <v>2016</v>
      </c>
      <c r="B115" s="29">
        <v>42430</v>
      </c>
      <c r="C115" s="30">
        <v>7824</v>
      </c>
      <c r="D115" s="30">
        <v>3576</v>
      </c>
      <c r="E115" s="31">
        <v>11400</v>
      </c>
      <c r="F115" s="32">
        <f t="shared" si="15"/>
        <v>0.68631578947368421</v>
      </c>
      <c r="G115" s="33">
        <v>9666</v>
      </c>
      <c r="H115" s="34">
        <f t="shared" si="16"/>
        <v>0.80943513345747986</v>
      </c>
    </row>
    <row r="116" spans="1:12" x14ac:dyDescent="0.3">
      <c r="A116">
        <f t="shared" si="17"/>
        <v>2016</v>
      </c>
      <c r="B116" s="29">
        <v>42522</v>
      </c>
      <c r="C116" s="18">
        <v>6995</v>
      </c>
      <c r="D116" s="18">
        <v>3879</v>
      </c>
      <c r="E116" s="19">
        <v>10874</v>
      </c>
      <c r="F116" s="20">
        <f t="shared" si="15"/>
        <v>0.64327754276255289</v>
      </c>
      <c r="G116" s="21">
        <v>9149</v>
      </c>
      <c r="H116" s="22">
        <f t="shared" si="16"/>
        <v>0.76456443327139578</v>
      </c>
    </row>
    <row r="117" spans="1:12" x14ac:dyDescent="0.3">
      <c r="A117">
        <f t="shared" si="17"/>
        <v>2016</v>
      </c>
      <c r="B117" s="29">
        <v>42614</v>
      </c>
      <c r="C117" s="30">
        <v>5869</v>
      </c>
      <c r="D117" s="30">
        <v>4200</v>
      </c>
      <c r="E117" s="31">
        <v>10069</v>
      </c>
      <c r="F117" s="32">
        <f t="shared" si="15"/>
        <v>0.58287814082828482</v>
      </c>
      <c r="G117" s="33">
        <v>7593</v>
      </c>
      <c r="H117" s="34">
        <f t="shared" si="16"/>
        <v>0.77294876860266037</v>
      </c>
    </row>
    <row r="118" spans="1:12" x14ac:dyDescent="0.3">
      <c r="A118">
        <f t="shared" si="17"/>
        <v>2016</v>
      </c>
      <c r="B118" s="29">
        <v>42705</v>
      </c>
      <c r="C118" s="18">
        <v>6192</v>
      </c>
      <c r="D118" s="18">
        <v>4390</v>
      </c>
      <c r="E118" s="19">
        <v>10582</v>
      </c>
      <c r="F118" s="20">
        <f t="shared" si="15"/>
        <v>0.58514458514458512</v>
      </c>
      <c r="G118" s="21">
        <v>8193</v>
      </c>
      <c r="H118" s="22">
        <f t="shared" si="16"/>
        <v>0.7557671182716954</v>
      </c>
    </row>
    <row r="119" spans="1:12" x14ac:dyDescent="0.3">
      <c r="A119">
        <f t="shared" si="17"/>
        <v>2017</v>
      </c>
      <c r="B119" s="29">
        <v>42795</v>
      </c>
      <c r="C119" s="30">
        <v>4820</v>
      </c>
      <c r="D119" s="30">
        <v>3771</v>
      </c>
      <c r="E119" s="31">
        <v>8591</v>
      </c>
      <c r="F119" s="32">
        <f t="shared" si="15"/>
        <v>0.56105226399720642</v>
      </c>
      <c r="G119" s="33">
        <v>6616</v>
      </c>
      <c r="H119" s="34">
        <f t="shared" si="16"/>
        <v>0.72853688029020558</v>
      </c>
    </row>
    <row r="120" spans="1:12" x14ac:dyDescent="0.3">
      <c r="A120">
        <f t="shared" si="17"/>
        <v>2017</v>
      </c>
      <c r="B120" s="29">
        <v>42887</v>
      </c>
      <c r="C120" s="18">
        <v>5349</v>
      </c>
      <c r="D120" s="18">
        <v>4159</v>
      </c>
      <c r="E120" s="19">
        <v>9508</v>
      </c>
      <c r="F120" s="20">
        <f t="shared" si="15"/>
        <v>0.5625788809423643</v>
      </c>
      <c r="G120" s="21">
        <v>7434</v>
      </c>
      <c r="H120" s="22">
        <f t="shared" si="16"/>
        <v>0.71953188054882966</v>
      </c>
    </row>
    <row r="121" spans="1:12" x14ac:dyDescent="0.3">
      <c r="A121">
        <f t="shared" si="17"/>
        <v>2017</v>
      </c>
      <c r="B121" s="29">
        <v>42979</v>
      </c>
      <c r="C121" s="30">
        <v>5055</v>
      </c>
      <c r="D121" s="30">
        <v>4310</v>
      </c>
      <c r="E121" s="31">
        <v>9365</v>
      </c>
      <c r="F121" s="32">
        <f t="shared" si="15"/>
        <v>0.53977576081153233</v>
      </c>
      <c r="G121" s="33">
        <v>7211</v>
      </c>
      <c r="H121" s="34">
        <f t="shared" si="16"/>
        <v>0.7010123422548884</v>
      </c>
    </row>
    <row r="122" spans="1:12" x14ac:dyDescent="0.3">
      <c r="A122">
        <f t="shared" si="17"/>
        <v>2017</v>
      </c>
      <c r="B122" s="29">
        <v>43070</v>
      </c>
      <c r="C122" s="18">
        <v>5234</v>
      </c>
      <c r="D122" s="18">
        <v>4639</v>
      </c>
      <c r="E122" s="19">
        <v>9873</v>
      </c>
      <c r="F122" s="20">
        <f t="shared" si="15"/>
        <v>0.53013268510077993</v>
      </c>
      <c r="G122" s="21">
        <v>7546</v>
      </c>
      <c r="H122" s="22">
        <f t="shared" si="16"/>
        <v>0.69361250993904056</v>
      </c>
    </row>
    <row r="123" spans="1:12" x14ac:dyDescent="0.3">
      <c r="A123">
        <f t="shared" si="17"/>
        <v>2018</v>
      </c>
      <c r="B123" s="29">
        <v>43160</v>
      </c>
      <c r="C123" s="30">
        <v>4268</v>
      </c>
      <c r="D123" s="30">
        <v>3907</v>
      </c>
      <c r="E123" s="31">
        <v>8175</v>
      </c>
      <c r="F123" s="32">
        <f t="shared" si="15"/>
        <v>0.52207951070336389</v>
      </c>
      <c r="G123" s="33">
        <v>6436</v>
      </c>
      <c r="H123" s="34">
        <f t="shared" si="16"/>
        <v>0.66314481044126783</v>
      </c>
    </row>
    <row r="124" spans="1:12" x14ac:dyDescent="0.3">
      <c r="A124">
        <f t="shared" si="17"/>
        <v>2018</v>
      </c>
      <c r="B124" s="29">
        <v>43252</v>
      </c>
      <c r="C124" s="18">
        <v>4616</v>
      </c>
      <c r="D124" s="18">
        <v>4359</v>
      </c>
      <c r="E124" s="19">
        <v>8975</v>
      </c>
      <c r="F124" s="20">
        <f t="shared" si="15"/>
        <v>0.51431754874651814</v>
      </c>
      <c r="G124" s="21">
        <v>6793</v>
      </c>
      <c r="H124" s="22">
        <f t="shared" si="16"/>
        <v>0.67952303842190487</v>
      </c>
    </row>
    <row r="125" spans="1:12" x14ac:dyDescent="0.3">
      <c r="A125">
        <f t="shared" si="17"/>
        <v>2018</v>
      </c>
      <c r="B125" s="29">
        <v>43344</v>
      </c>
      <c r="C125" s="30">
        <v>4249</v>
      </c>
      <c r="D125" s="30">
        <v>4173</v>
      </c>
      <c r="E125" s="31">
        <v>8422</v>
      </c>
      <c r="F125" s="32">
        <f t="shared" si="15"/>
        <v>0.50451199240085487</v>
      </c>
      <c r="G125" s="33">
        <v>6312</v>
      </c>
      <c r="H125" s="34">
        <f t="shared" si="16"/>
        <v>0.67316223067173642</v>
      </c>
    </row>
    <row r="126" spans="1:12" x14ac:dyDescent="0.3">
      <c r="A126">
        <f t="shared" si="17"/>
        <v>2018</v>
      </c>
      <c r="B126" s="29">
        <v>43435</v>
      </c>
      <c r="C126" s="18">
        <v>4660</v>
      </c>
      <c r="D126" s="18">
        <v>4363</v>
      </c>
      <c r="E126" s="19">
        <v>9023</v>
      </c>
      <c r="F126" s="20">
        <f t="shared" si="15"/>
        <v>0.51645794081790974</v>
      </c>
      <c r="G126" s="21">
        <v>6865</v>
      </c>
      <c r="H126" s="22">
        <f t="shared" si="16"/>
        <v>0.67880553532410781</v>
      </c>
    </row>
    <row r="127" spans="1:12" x14ac:dyDescent="0.3">
      <c r="A127">
        <f t="shared" si="17"/>
        <v>2019</v>
      </c>
      <c r="B127" s="29">
        <v>43525</v>
      </c>
      <c r="C127" s="30">
        <v>3730</v>
      </c>
      <c r="D127" s="30">
        <v>3575</v>
      </c>
      <c r="E127" s="31">
        <v>7305</v>
      </c>
      <c r="F127" s="32">
        <f t="shared" si="15"/>
        <v>0.51060917180013687</v>
      </c>
      <c r="G127" s="33">
        <v>5378</v>
      </c>
      <c r="H127" s="34">
        <f t="shared" si="16"/>
        <v>0.69356638155448125</v>
      </c>
    </row>
    <row r="128" spans="1:12" x14ac:dyDescent="0.3">
      <c r="A128">
        <f t="shared" si="17"/>
        <v>2019</v>
      </c>
      <c r="B128" s="29">
        <v>43617</v>
      </c>
      <c r="C128" s="18">
        <v>4329</v>
      </c>
      <c r="D128" s="18">
        <v>4275</v>
      </c>
      <c r="E128" s="19">
        <v>8604</v>
      </c>
      <c r="F128" s="20">
        <f t="shared" si="15"/>
        <v>0.5031380753138075</v>
      </c>
      <c r="G128" s="21">
        <v>6612</v>
      </c>
      <c r="H128" s="22">
        <f t="shared" si="16"/>
        <v>0.65471869328493648</v>
      </c>
      <c r="L128" t="s">
        <v>115</v>
      </c>
    </row>
    <row r="129" spans="1:8" x14ac:dyDescent="0.3">
      <c r="A129">
        <f t="shared" si="17"/>
        <v>2019</v>
      </c>
      <c r="B129" s="29">
        <v>43709</v>
      </c>
      <c r="C129" s="30">
        <v>4429</v>
      </c>
      <c r="D129" s="30">
        <v>4208</v>
      </c>
      <c r="E129" s="31">
        <v>8637</v>
      </c>
      <c r="F129" s="32">
        <f t="shared" si="15"/>
        <v>0.51279379414148429</v>
      </c>
      <c r="G129" s="33">
        <v>6287</v>
      </c>
      <c r="H129" s="34">
        <f t="shared" si="16"/>
        <v>0.70446954032129794</v>
      </c>
    </row>
    <row r="130" spans="1:8" x14ac:dyDescent="0.3">
      <c r="A130">
        <f t="shared" si="17"/>
        <v>2019</v>
      </c>
      <c r="B130" s="29">
        <v>43800</v>
      </c>
      <c r="C130" s="18">
        <v>4748</v>
      </c>
      <c r="D130" s="18">
        <v>4598</v>
      </c>
      <c r="E130" s="19">
        <v>9346</v>
      </c>
      <c r="F130" s="20">
        <f t="shared" si="15"/>
        <v>0.508024823453884</v>
      </c>
      <c r="G130" s="21">
        <v>7025</v>
      </c>
      <c r="H130" s="22">
        <f t="shared" si="16"/>
        <v>0.67587188612099647</v>
      </c>
    </row>
    <row r="131" spans="1:8" x14ac:dyDescent="0.3">
      <c r="A131">
        <f t="shared" si="17"/>
        <v>2020</v>
      </c>
      <c r="B131" s="29">
        <v>43891</v>
      </c>
      <c r="C131" s="30">
        <v>4592</v>
      </c>
      <c r="D131" s="30">
        <v>3399</v>
      </c>
      <c r="E131" s="31">
        <v>7991</v>
      </c>
      <c r="F131" s="32">
        <f t="shared" si="15"/>
        <v>0.57464647728694784</v>
      </c>
      <c r="G131" s="33">
        <v>6304</v>
      </c>
      <c r="H131" s="34">
        <f t="shared" si="16"/>
        <v>0.72842639593908631</v>
      </c>
    </row>
    <row r="132" spans="1:8" x14ac:dyDescent="0.3">
      <c r="A132">
        <f t="shared" si="17"/>
        <v>2020</v>
      </c>
      <c r="B132" s="29">
        <v>43983</v>
      </c>
      <c r="C132" s="18">
        <v>5192</v>
      </c>
      <c r="D132" s="18">
        <v>3989</v>
      </c>
      <c r="E132" s="19">
        <v>9181</v>
      </c>
      <c r="F132" s="20">
        <f t="shared" si="15"/>
        <v>0.56551573902624985</v>
      </c>
      <c r="G132" s="21">
        <v>7248</v>
      </c>
      <c r="H132" s="22">
        <f t="shared" si="16"/>
        <v>0.71633554083885209</v>
      </c>
    </row>
    <row r="133" spans="1:8" x14ac:dyDescent="0.3">
      <c r="A133">
        <f t="shared" si="17"/>
        <v>2020</v>
      </c>
      <c r="B133" s="29">
        <v>44075</v>
      </c>
      <c r="C133" s="30">
        <v>4954</v>
      </c>
      <c r="D133" s="30">
        <v>3653</v>
      </c>
      <c r="E133" s="31">
        <v>8607</v>
      </c>
      <c r="F133" s="32">
        <f t="shared" si="15"/>
        <v>0.57557801789241314</v>
      </c>
      <c r="G133" s="33">
        <v>6720</v>
      </c>
      <c r="H133" s="34">
        <f t="shared" si="16"/>
        <v>0.737202380952381</v>
      </c>
    </row>
    <row r="134" spans="1:8" x14ac:dyDescent="0.3">
      <c r="A134">
        <f t="shared" si="17"/>
        <v>2020</v>
      </c>
      <c r="B134" s="29">
        <v>44166</v>
      </c>
      <c r="C134" s="18">
        <v>5255</v>
      </c>
      <c r="D134" s="18">
        <v>4124</v>
      </c>
      <c r="E134" s="19">
        <v>9379</v>
      </c>
      <c r="F134" s="20">
        <f t="shared" si="15"/>
        <v>0.56029427444290436</v>
      </c>
      <c r="G134" s="21">
        <v>7361</v>
      </c>
      <c r="H134" s="22">
        <f t="shared" si="16"/>
        <v>0.71389756826518136</v>
      </c>
    </row>
    <row r="135" spans="1:8" x14ac:dyDescent="0.3">
      <c r="A135">
        <f t="shared" si="17"/>
        <v>2021</v>
      </c>
      <c r="B135" s="29">
        <v>44256</v>
      </c>
      <c r="C135" s="30">
        <v>4949</v>
      </c>
      <c r="D135" s="30">
        <v>3111</v>
      </c>
      <c r="E135" s="31">
        <v>8060</v>
      </c>
      <c r="F135" s="32">
        <f t="shared" si="15"/>
        <v>0.61401985111662527</v>
      </c>
      <c r="G135" s="33">
        <v>6991</v>
      </c>
      <c r="H135" s="34">
        <f t="shared" si="16"/>
        <v>0.70791017021885283</v>
      </c>
    </row>
    <row r="136" spans="1:8" x14ac:dyDescent="0.3">
      <c r="A136">
        <f t="shared" si="17"/>
        <v>2021</v>
      </c>
      <c r="B136" s="29">
        <v>44348</v>
      </c>
      <c r="C136" s="18">
        <v>5513</v>
      </c>
      <c r="D136" s="18">
        <v>3901</v>
      </c>
      <c r="E136" s="19">
        <v>9414</v>
      </c>
      <c r="F136" s="20">
        <f t="shared" ref="F136:F148" si="18">C136/E136</f>
        <v>0.58561716592309332</v>
      </c>
      <c r="G136" s="21">
        <v>8262</v>
      </c>
      <c r="H136" s="22">
        <f t="shared" ref="H136:H148" si="19">IFERROR(C136/G136,"n/a")</f>
        <v>0.66727184701040909</v>
      </c>
    </row>
    <row r="137" spans="1:8" x14ac:dyDescent="0.3">
      <c r="A137">
        <f t="shared" si="17"/>
        <v>2021</v>
      </c>
      <c r="B137" s="29">
        <v>44440</v>
      </c>
      <c r="C137" s="30">
        <v>5538</v>
      </c>
      <c r="D137" s="30">
        <v>3860</v>
      </c>
      <c r="E137" s="31">
        <v>9398</v>
      </c>
      <c r="F137" s="32">
        <f t="shared" si="18"/>
        <v>0.58927431368376249</v>
      </c>
      <c r="G137" s="33">
        <v>7997</v>
      </c>
      <c r="H137" s="34">
        <f t="shared" si="19"/>
        <v>0.69250969113417526</v>
      </c>
    </row>
    <row r="138" spans="1:8" ht="16.5" customHeight="1" x14ac:dyDescent="0.3">
      <c r="A138">
        <f t="shared" ref="A138:A201" si="20">YEAR(B138)</f>
        <v>2021</v>
      </c>
      <c r="B138" s="29">
        <v>44531</v>
      </c>
      <c r="C138" s="42">
        <v>6258</v>
      </c>
      <c r="D138" s="42">
        <v>4933</v>
      </c>
      <c r="E138" s="41">
        <v>11191</v>
      </c>
      <c r="F138" s="158">
        <f t="shared" si="18"/>
        <v>0.55919935662586007</v>
      </c>
      <c r="G138" s="21">
        <v>8650</v>
      </c>
      <c r="H138" s="22">
        <f t="shared" si="19"/>
        <v>0.72346820809248558</v>
      </c>
    </row>
    <row r="139" spans="1:8" x14ac:dyDescent="0.3">
      <c r="A139">
        <f t="shared" si="20"/>
        <v>2022</v>
      </c>
      <c r="B139" s="29">
        <v>44621</v>
      </c>
      <c r="C139" s="30">
        <v>5876</v>
      </c>
      <c r="D139" s="30">
        <v>3746</v>
      </c>
      <c r="E139" s="31">
        <v>9622</v>
      </c>
      <c r="F139" s="32">
        <f t="shared" si="18"/>
        <v>0.61068384951153609</v>
      </c>
      <c r="G139" s="33">
        <v>7971</v>
      </c>
      <c r="H139" s="34">
        <f t="shared" si="19"/>
        <v>0.73717224940408987</v>
      </c>
    </row>
    <row r="140" spans="1:8" x14ac:dyDescent="0.3">
      <c r="A140">
        <f t="shared" si="20"/>
        <v>2022</v>
      </c>
      <c r="B140" s="29">
        <v>44713</v>
      </c>
      <c r="C140" s="18">
        <v>6787</v>
      </c>
      <c r="D140" s="18">
        <v>4690</v>
      </c>
      <c r="E140" s="19">
        <v>11477</v>
      </c>
      <c r="F140" s="20">
        <f t="shared" si="18"/>
        <v>0.59135662629607044</v>
      </c>
      <c r="G140" s="21">
        <v>9668</v>
      </c>
      <c r="H140" s="22">
        <f t="shared" si="19"/>
        <v>0.70200661977658252</v>
      </c>
    </row>
    <row r="141" spans="1:8" x14ac:dyDescent="0.3">
      <c r="A141">
        <f t="shared" si="20"/>
        <v>2022</v>
      </c>
      <c r="B141" s="29">
        <v>44805</v>
      </c>
      <c r="C141" s="30">
        <v>6199</v>
      </c>
      <c r="D141" s="30">
        <v>4386</v>
      </c>
      <c r="E141" s="31">
        <v>10585</v>
      </c>
      <c r="F141" s="32">
        <f t="shared" si="18"/>
        <v>0.58564005668398678</v>
      </c>
      <c r="G141" s="33">
        <v>8476</v>
      </c>
      <c r="H141" s="34">
        <f t="shared" si="19"/>
        <v>0.73135913166588018</v>
      </c>
    </row>
    <row r="142" spans="1:8" x14ac:dyDescent="0.3">
      <c r="A142">
        <f t="shared" si="20"/>
        <v>2022</v>
      </c>
      <c r="B142" s="29">
        <v>44896</v>
      </c>
      <c r="C142" s="18">
        <v>6972</v>
      </c>
      <c r="D142" s="18">
        <v>5576</v>
      </c>
      <c r="E142" s="19">
        <v>12548</v>
      </c>
      <c r="F142" s="20">
        <f t="shared" si="18"/>
        <v>0.55562639464456487</v>
      </c>
      <c r="G142" s="21">
        <v>9796</v>
      </c>
      <c r="H142" s="22">
        <f t="shared" si="19"/>
        <v>0.71171906900775828</v>
      </c>
    </row>
    <row r="143" spans="1:8" x14ac:dyDescent="0.3">
      <c r="A143">
        <f t="shared" si="20"/>
        <v>2023</v>
      </c>
      <c r="B143" s="29">
        <v>44986</v>
      </c>
      <c r="C143" s="30">
        <v>6592</v>
      </c>
      <c r="D143" s="30">
        <v>4198</v>
      </c>
      <c r="E143" s="31">
        <v>10790</v>
      </c>
      <c r="F143" s="32">
        <f t="shared" si="18"/>
        <v>0.6109360518999073</v>
      </c>
      <c r="G143" s="33">
        <v>8817</v>
      </c>
      <c r="H143" s="34">
        <f t="shared" si="19"/>
        <v>0.74764659181127369</v>
      </c>
    </row>
    <row r="144" spans="1:8" x14ac:dyDescent="0.3">
      <c r="A144">
        <f t="shared" si="20"/>
        <v>2023</v>
      </c>
      <c r="B144" s="29">
        <v>45078</v>
      </c>
      <c r="C144" s="42">
        <v>7529</v>
      </c>
      <c r="D144" s="42">
        <v>5304</v>
      </c>
      <c r="E144" s="41">
        <v>12833</v>
      </c>
      <c r="F144" s="158">
        <f t="shared" si="18"/>
        <v>0.58669056339125691</v>
      </c>
      <c r="G144" s="21">
        <v>11108</v>
      </c>
      <c r="H144" s="22">
        <f t="shared" si="19"/>
        <v>0.67779978393950302</v>
      </c>
    </row>
    <row r="145" spans="1:8" x14ac:dyDescent="0.3">
      <c r="A145">
        <f t="shared" si="20"/>
        <v>2023</v>
      </c>
      <c r="B145" s="29">
        <v>45170</v>
      </c>
      <c r="C145" s="30">
        <v>7970</v>
      </c>
      <c r="D145" s="30">
        <v>4931</v>
      </c>
      <c r="E145" s="31">
        <v>12901</v>
      </c>
      <c r="F145" s="32">
        <f t="shared" si="18"/>
        <v>0.61778156732036271</v>
      </c>
      <c r="G145" s="33">
        <v>11071</v>
      </c>
      <c r="H145" s="34">
        <f t="shared" si="19"/>
        <v>0.71989883479360495</v>
      </c>
    </row>
    <row r="146" spans="1:8" x14ac:dyDescent="0.3">
      <c r="A146">
        <f t="shared" si="20"/>
        <v>2023</v>
      </c>
      <c r="B146" s="29">
        <v>45261</v>
      </c>
      <c r="C146" s="42">
        <v>8961</v>
      </c>
      <c r="D146" s="42">
        <v>5685</v>
      </c>
      <c r="E146" s="41">
        <v>14646</v>
      </c>
      <c r="F146" s="158">
        <f t="shared" si="18"/>
        <v>0.61183941007783693</v>
      </c>
      <c r="G146" s="21">
        <v>12338</v>
      </c>
      <c r="H146" s="22">
        <f t="shared" si="19"/>
        <v>0.72629275409304583</v>
      </c>
    </row>
    <row r="147" spans="1:8" x14ac:dyDescent="0.3">
      <c r="A147">
        <f t="shared" si="20"/>
        <v>2024</v>
      </c>
      <c r="B147" s="29">
        <v>45352</v>
      </c>
      <c r="C147" s="159">
        <v>7084</v>
      </c>
      <c r="D147" s="159">
        <v>4409</v>
      </c>
      <c r="E147" s="160">
        <v>11493</v>
      </c>
      <c r="F147" s="161">
        <f t="shared" si="18"/>
        <v>0.61637518489515353</v>
      </c>
      <c r="G147" s="162">
        <v>9916</v>
      </c>
      <c r="H147" s="163">
        <f t="shared" si="19"/>
        <v>0.71440096813231146</v>
      </c>
    </row>
    <row r="148" spans="1:8" ht="15" thickBot="1" x14ac:dyDescent="0.35">
      <c r="A148">
        <f t="shared" si="20"/>
        <v>2024</v>
      </c>
      <c r="B148" s="53">
        <v>45444</v>
      </c>
      <c r="C148" s="164">
        <v>8338</v>
      </c>
      <c r="D148" s="164">
        <v>5167</v>
      </c>
      <c r="E148" s="165">
        <v>13505</v>
      </c>
      <c r="F148" s="166">
        <f t="shared" si="18"/>
        <v>0.61740096260644206</v>
      </c>
      <c r="G148" s="167">
        <v>11783</v>
      </c>
      <c r="H148" s="168">
        <f t="shared" si="19"/>
        <v>0.70762963591615036</v>
      </c>
    </row>
    <row r="149" spans="1:8" x14ac:dyDescent="0.3">
      <c r="A149">
        <f t="shared" si="20"/>
        <v>1900</v>
      </c>
      <c r="E149" s="65"/>
    </row>
    <row r="150" spans="1:8" x14ac:dyDescent="0.3">
      <c r="A150">
        <f t="shared" si="20"/>
        <v>1900</v>
      </c>
      <c r="E150" s="65"/>
    </row>
    <row r="151" spans="1:8" x14ac:dyDescent="0.3">
      <c r="A151">
        <f t="shared" si="20"/>
        <v>1900</v>
      </c>
      <c r="E151" s="65"/>
    </row>
    <row r="152" spans="1:8" x14ac:dyDescent="0.3">
      <c r="A152">
        <f t="shared" si="20"/>
        <v>1900</v>
      </c>
      <c r="E152" s="65"/>
    </row>
    <row r="153" spans="1:8" x14ac:dyDescent="0.3">
      <c r="A153">
        <f t="shared" si="20"/>
        <v>1900</v>
      </c>
      <c r="E153" s="65"/>
    </row>
    <row r="154" spans="1:8" x14ac:dyDescent="0.3">
      <c r="A154">
        <f t="shared" si="20"/>
        <v>1900</v>
      </c>
      <c r="E154" s="65"/>
    </row>
    <row r="155" spans="1:8" x14ac:dyDescent="0.3">
      <c r="A155">
        <f t="shared" si="20"/>
        <v>1900</v>
      </c>
      <c r="E155" s="65"/>
    </row>
    <row r="156" spans="1:8" x14ac:dyDescent="0.3">
      <c r="A156">
        <f t="shared" si="20"/>
        <v>1900</v>
      </c>
      <c r="E156" s="65"/>
    </row>
    <row r="157" spans="1:8" x14ac:dyDescent="0.3">
      <c r="A157">
        <f t="shared" si="20"/>
        <v>1900</v>
      </c>
      <c r="E157" s="65"/>
    </row>
    <row r="158" spans="1:8" x14ac:dyDescent="0.3">
      <c r="A158">
        <f t="shared" si="20"/>
        <v>1900</v>
      </c>
      <c r="E158" s="65"/>
    </row>
    <row r="159" spans="1:8" x14ac:dyDescent="0.3">
      <c r="A159">
        <f t="shared" si="20"/>
        <v>1900</v>
      </c>
      <c r="E159" s="65"/>
    </row>
    <row r="160" spans="1:8" x14ac:dyDescent="0.3">
      <c r="A160">
        <f t="shared" si="20"/>
        <v>1900</v>
      </c>
      <c r="E160" s="65"/>
    </row>
    <row r="161" spans="1:5" x14ac:dyDescent="0.3">
      <c r="A161">
        <f t="shared" si="20"/>
        <v>1900</v>
      </c>
      <c r="E161" s="65"/>
    </row>
    <row r="162" spans="1:5" x14ac:dyDescent="0.3">
      <c r="A162">
        <f t="shared" si="20"/>
        <v>1900</v>
      </c>
      <c r="E162" s="65"/>
    </row>
    <row r="163" spans="1:5" x14ac:dyDescent="0.3">
      <c r="A163">
        <f t="shared" si="20"/>
        <v>1900</v>
      </c>
      <c r="E163" s="65"/>
    </row>
    <row r="164" spans="1:5" x14ac:dyDescent="0.3">
      <c r="A164">
        <f t="shared" si="20"/>
        <v>1900</v>
      </c>
      <c r="E164" s="65"/>
    </row>
    <row r="165" spans="1:5" x14ac:dyDescent="0.3">
      <c r="A165">
        <f t="shared" si="20"/>
        <v>1900</v>
      </c>
      <c r="E165" s="65"/>
    </row>
    <row r="166" spans="1:5" x14ac:dyDescent="0.3">
      <c r="A166">
        <f t="shared" si="20"/>
        <v>1900</v>
      </c>
      <c r="E166" s="65"/>
    </row>
    <row r="167" spans="1:5" x14ac:dyDescent="0.3">
      <c r="A167">
        <f t="shared" si="20"/>
        <v>1900</v>
      </c>
      <c r="E167" s="65"/>
    </row>
    <row r="168" spans="1:5" x14ac:dyDescent="0.3">
      <c r="A168">
        <f t="shared" si="20"/>
        <v>1900</v>
      </c>
      <c r="E168" s="65"/>
    </row>
    <row r="169" spans="1:5" x14ac:dyDescent="0.3">
      <c r="A169">
        <f t="shared" si="20"/>
        <v>1900</v>
      </c>
      <c r="E169" s="65"/>
    </row>
    <row r="170" spans="1:5" x14ac:dyDescent="0.3">
      <c r="A170">
        <f t="shared" si="20"/>
        <v>1900</v>
      </c>
      <c r="E170" s="65"/>
    </row>
    <row r="171" spans="1:5" x14ac:dyDescent="0.3">
      <c r="A171">
        <f t="shared" si="20"/>
        <v>1900</v>
      </c>
      <c r="E171" s="65"/>
    </row>
    <row r="172" spans="1:5" x14ac:dyDescent="0.3">
      <c r="A172">
        <f t="shared" si="20"/>
        <v>1900</v>
      </c>
      <c r="E172" s="65"/>
    </row>
    <row r="173" spans="1:5" x14ac:dyDescent="0.3">
      <c r="A173">
        <f t="shared" si="20"/>
        <v>1900</v>
      </c>
      <c r="E173" s="65"/>
    </row>
    <row r="174" spans="1:5" x14ac:dyDescent="0.3">
      <c r="A174">
        <f t="shared" si="20"/>
        <v>1900</v>
      </c>
      <c r="E174" s="65"/>
    </row>
    <row r="175" spans="1:5" x14ac:dyDescent="0.3">
      <c r="A175">
        <f t="shared" si="20"/>
        <v>1900</v>
      </c>
      <c r="E175" s="65"/>
    </row>
    <row r="176" spans="1:5" x14ac:dyDescent="0.3">
      <c r="A176">
        <f t="shared" si="20"/>
        <v>1900</v>
      </c>
      <c r="E176" s="65"/>
    </row>
    <row r="177" spans="1:5" x14ac:dyDescent="0.3">
      <c r="A177">
        <f t="shared" si="20"/>
        <v>1900</v>
      </c>
      <c r="E177" s="65"/>
    </row>
    <row r="178" spans="1:5" x14ac:dyDescent="0.3">
      <c r="A178">
        <f t="shared" si="20"/>
        <v>1900</v>
      </c>
      <c r="E178" s="65"/>
    </row>
    <row r="179" spans="1:5" x14ac:dyDescent="0.3">
      <c r="A179">
        <f t="shared" si="20"/>
        <v>1900</v>
      </c>
      <c r="E179" s="65"/>
    </row>
    <row r="180" spans="1:5" x14ac:dyDescent="0.3">
      <c r="A180">
        <f t="shared" si="20"/>
        <v>1900</v>
      </c>
      <c r="E180" s="65"/>
    </row>
    <row r="181" spans="1:5" x14ac:dyDescent="0.3">
      <c r="A181">
        <f t="shared" si="20"/>
        <v>1900</v>
      </c>
      <c r="E181" s="65"/>
    </row>
    <row r="182" spans="1:5" x14ac:dyDescent="0.3">
      <c r="A182">
        <f t="shared" si="20"/>
        <v>1900</v>
      </c>
      <c r="E182" s="65"/>
    </row>
    <row r="183" spans="1:5" x14ac:dyDescent="0.3">
      <c r="A183">
        <f t="shared" si="20"/>
        <v>1900</v>
      </c>
      <c r="E183" s="65"/>
    </row>
    <row r="184" spans="1:5" x14ac:dyDescent="0.3">
      <c r="A184">
        <f t="shared" si="20"/>
        <v>1900</v>
      </c>
      <c r="E184" s="65"/>
    </row>
    <row r="185" spans="1:5" x14ac:dyDescent="0.3">
      <c r="A185">
        <f t="shared" si="20"/>
        <v>1900</v>
      </c>
    </row>
    <row r="186" spans="1:5" x14ac:dyDescent="0.3">
      <c r="A186">
        <f t="shared" si="20"/>
        <v>1900</v>
      </c>
    </row>
    <row r="187" spans="1:5" x14ac:dyDescent="0.3">
      <c r="A187">
        <f t="shared" si="20"/>
        <v>1900</v>
      </c>
    </row>
    <row r="188" spans="1:5" x14ac:dyDescent="0.3">
      <c r="A188">
        <f t="shared" si="20"/>
        <v>1900</v>
      </c>
    </row>
    <row r="189" spans="1:5" x14ac:dyDescent="0.3">
      <c r="A189">
        <f t="shared" si="20"/>
        <v>1900</v>
      </c>
    </row>
    <row r="190" spans="1:5" x14ac:dyDescent="0.3">
      <c r="A190">
        <f t="shared" si="20"/>
        <v>1900</v>
      </c>
    </row>
    <row r="191" spans="1:5" x14ac:dyDescent="0.3">
      <c r="A191">
        <f t="shared" si="20"/>
        <v>1900</v>
      </c>
    </row>
    <row r="192" spans="1:5" x14ac:dyDescent="0.3">
      <c r="A192">
        <f t="shared" si="20"/>
        <v>1900</v>
      </c>
    </row>
    <row r="193" spans="1:1" x14ac:dyDescent="0.3">
      <c r="A193">
        <f t="shared" si="20"/>
        <v>1900</v>
      </c>
    </row>
    <row r="194" spans="1:1" x14ac:dyDescent="0.3">
      <c r="A194">
        <f t="shared" si="20"/>
        <v>1900</v>
      </c>
    </row>
    <row r="195" spans="1:1" x14ac:dyDescent="0.3">
      <c r="A195">
        <f t="shared" si="20"/>
        <v>1900</v>
      </c>
    </row>
    <row r="196" spans="1:1" x14ac:dyDescent="0.3">
      <c r="A196">
        <f t="shared" si="20"/>
        <v>1900</v>
      </c>
    </row>
    <row r="197" spans="1:1" x14ac:dyDescent="0.3">
      <c r="A197">
        <f t="shared" si="20"/>
        <v>1900</v>
      </c>
    </row>
    <row r="198" spans="1:1" x14ac:dyDescent="0.3">
      <c r="A198">
        <f t="shared" si="20"/>
        <v>1900</v>
      </c>
    </row>
    <row r="199" spans="1:1" x14ac:dyDescent="0.3">
      <c r="A199">
        <f t="shared" si="20"/>
        <v>1900</v>
      </c>
    </row>
    <row r="200" spans="1:1" x14ac:dyDescent="0.3">
      <c r="A200">
        <f t="shared" si="20"/>
        <v>1900</v>
      </c>
    </row>
    <row r="201" spans="1:1" x14ac:dyDescent="0.3">
      <c r="A201">
        <f t="shared" si="20"/>
        <v>1900</v>
      </c>
    </row>
    <row r="202" spans="1:1" x14ac:dyDescent="0.3">
      <c r="A202">
        <f t="shared" ref="A202:A265" si="21">YEAR(B202)</f>
        <v>1900</v>
      </c>
    </row>
    <row r="203" spans="1:1" x14ac:dyDescent="0.3">
      <c r="A203">
        <f t="shared" si="21"/>
        <v>1900</v>
      </c>
    </row>
    <row r="204" spans="1:1" x14ac:dyDescent="0.3">
      <c r="A204">
        <f t="shared" si="21"/>
        <v>1900</v>
      </c>
    </row>
    <row r="205" spans="1:1" x14ac:dyDescent="0.3">
      <c r="A205">
        <f t="shared" si="21"/>
        <v>1900</v>
      </c>
    </row>
    <row r="206" spans="1:1" x14ac:dyDescent="0.3">
      <c r="A206">
        <f t="shared" si="21"/>
        <v>1900</v>
      </c>
    </row>
    <row r="207" spans="1:1" x14ac:dyDescent="0.3">
      <c r="A207">
        <f t="shared" si="21"/>
        <v>1900</v>
      </c>
    </row>
    <row r="208" spans="1:1" x14ac:dyDescent="0.3">
      <c r="A208">
        <f t="shared" si="21"/>
        <v>1900</v>
      </c>
    </row>
    <row r="209" spans="1:1" x14ac:dyDescent="0.3">
      <c r="A209">
        <f t="shared" si="21"/>
        <v>1900</v>
      </c>
    </row>
    <row r="210" spans="1:1" x14ac:dyDescent="0.3">
      <c r="A210">
        <f t="shared" si="21"/>
        <v>1900</v>
      </c>
    </row>
    <row r="211" spans="1:1" x14ac:dyDescent="0.3">
      <c r="A211">
        <f t="shared" si="21"/>
        <v>1900</v>
      </c>
    </row>
    <row r="212" spans="1:1" x14ac:dyDescent="0.3">
      <c r="A212">
        <f t="shared" si="21"/>
        <v>1900</v>
      </c>
    </row>
    <row r="213" spans="1:1" x14ac:dyDescent="0.3">
      <c r="A213">
        <f t="shared" si="21"/>
        <v>1900</v>
      </c>
    </row>
    <row r="214" spans="1:1" x14ac:dyDescent="0.3">
      <c r="A214">
        <f t="shared" si="21"/>
        <v>1900</v>
      </c>
    </row>
    <row r="215" spans="1:1" x14ac:dyDescent="0.3">
      <c r="A215">
        <f t="shared" si="21"/>
        <v>1900</v>
      </c>
    </row>
    <row r="216" spans="1:1" x14ac:dyDescent="0.3">
      <c r="A216">
        <f t="shared" si="21"/>
        <v>1900</v>
      </c>
    </row>
    <row r="217" spans="1:1" x14ac:dyDescent="0.3">
      <c r="A217">
        <f t="shared" si="21"/>
        <v>1900</v>
      </c>
    </row>
    <row r="218" spans="1:1" x14ac:dyDescent="0.3">
      <c r="A218">
        <f t="shared" si="21"/>
        <v>1900</v>
      </c>
    </row>
    <row r="219" spans="1:1" x14ac:dyDescent="0.3">
      <c r="A219">
        <f t="shared" si="21"/>
        <v>1900</v>
      </c>
    </row>
    <row r="220" spans="1:1" x14ac:dyDescent="0.3">
      <c r="A220">
        <f t="shared" si="21"/>
        <v>1900</v>
      </c>
    </row>
    <row r="221" spans="1:1" x14ac:dyDescent="0.3">
      <c r="A221">
        <f t="shared" si="21"/>
        <v>1900</v>
      </c>
    </row>
    <row r="222" spans="1:1" x14ac:dyDescent="0.3">
      <c r="A222">
        <f t="shared" si="21"/>
        <v>1900</v>
      </c>
    </row>
    <row r="223" spans="1:1" x14ac:dyDescent="0.3">
      <c r="A223">
        <f t="shared" si="21"/>
        <v>1900</v>
      </c>
    </row>
    <row r="224" spans="1:1" x14ac:dyDescent="0.3">
      <c r="A224">
        <f t="shared" si="21"/>
        <v>1900</v>
      </c>
    </row>
    <row r="225" spans="1:1" x14ac:dyDescent="0.3">
      <c r="A225">
        <f t="shared" si="21"/>
        <v>1900</v>
      </c>
    </row>
    <row r="226" spans="1:1" x14ac:dyDescent="0.3">
      <c r="A226">
        <f t="shared" si="21"/>
        <v>1900</v>
      </c>
    </row>
    <row r="227" spans="1:1" x14ac:dyDescent="0.3">
      <c r="A227">
        <f t="shared" si="21"/>
        <v>1900</v>
      </c>
    </row>
    <row r="228" spans="1:1" x14ac:dyDescent="0.3">
      <c r="A228">
        <f t="shared" si="21"/>
        <v>1900</v>
      </c>
    </row>
    <row r="229" spans="1:1" x14ac:dyDescent="0.3">
      <c r="A229">
        <f t="shared" si="21"/>
        <v>1900</v>
      </c>
    </row>
    <row r="230" spans="1:1" x14ac:dyDescent="0.3">
      <c r="A230">
        <f t="shared" si="21"/>
        <v>1900</v>
      </c>
    </row>
    <row r="231" spans="1:1" x14ac:dyDescent="0.3">
      <c r="A231">
        <f t="shared" si="21"/>
        <v>1900</v>
      </c>
    </row>
    <row r="232" spans="1:1" x14ac:dyDescent="0.3">
      <c r="A232">
        <f t="shared" si="21"/>
        <v>1900</v>
      </c>
    </row>
    <row r="233" spans="1:1" x14ac:dyDescent="0.3">
      <c r="A233">
        <f t="shared" si="21"/>
        <v>1900</v>
      </c>
    </row>
    <row r="234" spans="1:1" x14ac:dyDescent="0.3">
      <c r="A234">
        <f t="shared" si="21"/>
        <v>1900</v>
      </c>
    </row>
    <row r="235" spans="1:1" x14ac:dyDescent="0.3">
      <c r="A235">
        <f t="shared" si="21"/>
        <v>1900</v>
      </c>
    </row>
    <row r="236" spans="1:1" x14ac:dyDescent="0.3">
      <c r="A236">
        <f t="shared" si="21"/>
        <v>1900</v>
      </c>
    </row>
    <row r="237" spans="1:1" x14ac:dyDescent="0.3">
      <c r="A237">
        <f t="shared" si="21"/>
        <v>1900</v>
      </c>
    </row>
    <row r="238" spans="1:1" x14ac:dyDescent="0.3">
      <c r="A238">
        <f t="shared" si="21"/>
        <v>1900</v>
      </c>
    </row>
    <row r="239" spans="1:1" x14ac:dyDescent="0.3">
      <c r="A239">
        <f t="shared" si="21"/>
        <v>1900</v>
      </c>
    </row>
    <row r="240" spans="1:1" x14ac:dyDescent="0.3">
      <c r="A240">
        <f t="shared" si="21"/>
        <v>1900</v>
      </c>
    </row>
    <row r="241" spans="1:1" x14ac:dyDescent="0.3">
      <c r="A241">
        <f t="shared" si="21"/>
        <v>1900</v>
      </c>
    </row>
    <row r="242" spans="1:1" x14ac:dyDescent="0.3">
      <c r="A242">
        <f t="shared" si="21"/>
        <v>1900</v>
      </c>
    </row>
    <row r="243" spans="1:1" x14ac:dyDescent="0.3">
      <c r="A243">
        <f t="shared" si="21"/>
        <v>1900</v>
      </c>
    </row>
    <row r="244" spans="1:1" x14ac:dyDescent="0.3">
      <c r="A244">
        <f t="shared" si="21"/>
        <v>1900</v>
      </c>
    </row>
    <row r="245" spans="1:1" x14ac:dyDescent="0.3">
      <c r="A245">
        <f t="shared" si="21"/>
        <v>1900</v>
      </c>
    </row>
    <row r="246" spans="1:1" x14ac:dyDescent="0.3">
      <c r="A246">
        <f t="shared" si="21"/>
        <v>1900</v>
      </c>
    </row>
    <row r="247" spans="1:1" x14ac:dyDescent="0.3">
      <c r="A247">
        <f t="shared" si="21"/>
        <v>1900</v>
      </c>
    </row>
    <row r="248" spans="1:1" x14ac:dyDescent="0.3">
      <c r="A248">
        <f t="shared" si="21"/>
        <v>1900</v>
      </c>
    </row>
    <row r="249" spans="1:1" x14ac:dyDescent="0.3">
      <c r="A249">
        <f t="shared" si="21"/>
        <v>1900</v>
      </c>
    </row>
    <row r="250" spans="1:1" x14ac:dyDescent="0.3">
      <c r="A250">
        <f t="shared" si="21"/>
        <v>1900</v>
      </c>
    </row>
    <row r="251" spans="1:1" x14ac:dyDescent="0.3">
      <c r="A251">
        <f t="shared" si="21"/>
        <v>1900</v>
      </c>
    </row>
    <row r="252" spans="1:1" x14ac:dyDescent="0.3">
      <c r="A252">
        <f t="shared" si="21"/>
        <v>1900</v>
      </c>
    </row>
    <row r="253" spans="1:1" x14ac:dyDescent="0.3">
      <c r="A253">
        <f t="shared" si="21"/>
        <v>1900</v>
      </c>
    </row>
    <row r="254" spans="1:1" x14ac:dyDescent="0.3">
      <c r="A254">
        <f t="shared" si="21"/>
        <v>1900</v>
      </c>
    </row>
    <row r="255" spans="1:1" x14ac:dyDescent="0.3">
      <c r="A255">
        <f t="shared" si="21"/>
        <v>1900</v>
      </c>
    </row>
    <row r="256" spans="1:1" x14ac:dyDescent="0.3">
      <c r="A256">
        <f t="shared" si="21"/>
        <v>1900</v>
      </c>
    </row>
    <row r="257" spans="1:1" x14ac:dyDescent="0.3">
      <c r="A257">
        <f t="shared" si="21"/>
        <v>1900</v>
      </c>
    </row>
    <row r="258" spans="1:1" x14ac:dyDescent="0.3">
      <c r="A258">
        <f t="shared" si="21"/>
        <v>1900</v>
      </c>
    </row>
    <row r="259" spans="1:1" x14ac:dyDescent="0.3">
      <c r="A259">
        <f t="shared" si="21"/>
        <v>1900</v>
      </c>
    </row>
    <row r="260" spans="1:1" x14ac:dyDescent="0.3">
      <c r="A260">
        <f t="shared" si="21"/>
        <v>1900</v>
      </c>
    </row>
    <row r="261" spans="1:1" x14ac:dyDescent="0.3">
      <c r="A261">
        <f t="shared" si="21"/>
        <v>1900</v>
      </c>
    </row>
    <row r="262" spans="1:1" x14ac:dyDescent="0.3">
      <c r="A262">
        <f t="shared" si="21"/>
        <v>1900</v>
      </c>
    </row>
    <row r="263" spans="1:1" x14ac:dyDescent="0.3">
      <c r="A263">
        <f t="shared" si="21"/>
        <v>1900</v>
      </c>
    </row>
    <row r="264" spans="1:1" x14ac:dyDescent="0.3">
      <c r="A264">
        <f t="shared" si="21"/>
        <v>1900</v>
      </c>
    </row>
    <row r="265" spans="1:1" x14ac:dyDescent="0.3">
      <c r="A265">
        <f t="shared" si="21"/>
        <v>1900</v>
      </c>
    </row>
    <row r="266" spans="1:1" x14ac:dyDescent="0.3">
      <c r="A266">
        <f t="shared" ref="A266:A329" si="22">YEAR(B266)</f>
        <v>1900</v>
      </c>
    </row>
    <row r="267" spans="1:1" x14ac:dyDescent="0.3">
      <c r="A267">
        <f t="shared" si="22"/>
        <v>1900</v>
      </c>
    </row>
    <row r="268" spans="1:1" x14ac:dyDescent="0.3">
      <c r="A268">
        <f t="shared" si="22"/>
        <v>1900</v>
      </c>
    </row>
    <row r="269" spans="1:1" x14ac:dyDescent="0.3">
      <c r="A269">
        <f t="shared" si="22"/>
        <v>1900</v>
      </c>
    </row>
    <row r="270" spans="1:1" x14ac:dyDescent="0.3">
      <c r="A270">
        <f t="shared" si="22"/>
        <v>1900</v>
      </c>
    </row>
    <row r="271" spans="1:1" x14ac:dyDescent="0.3">
      <c r="A271">
        <f t="shared" si="22"/>
        <v>1900</v>
      </c>
    </row>
    <row r="272" spans="1:1" x14ac:dyDescent="0.3">
      <c r="A272">
        <f t="shared" si="22"/>
        <v>1900</v>
      </c>
    </row>
    <row r="273" spans="1:1" x14ac:dyDescent="0.3">
      <c r="A273">
        <f t="shared" si="22"/>
        <v>1900</v>
      </c>
    </row>
    <row r="274" spans="1:1" x14ac:dyDescent="0.3">
      <c r="A274">
        <f t="shared" si="22"/>
        <v>1900</v>
      </c>
    </row>
    <row r="275" spans="1:1" x14ac:dyDescent="0.3">
      <c r="A275">
        <f t="shared" si="22"/>
        <v>1900</v>
      </c>
    </row>
    <row r="276" spans="1:1" x14ac:dyDescent="0.3">
      <c r="A276">
        <f t="shared" si="22"/>
        <v>1900</v>
      </c>
    </row>
    <row r="277" spans="1:1" x14ac:dyDescent="0.3">
      <c r="A277">
        <f t="shared" si="22"/>
        <v>1900</v>
      </c>
    </row>
    <row r="278" spans="1:1" x14ac:dyDescent="0.3">
      <c r="A278">
        <f t="shared" si="22"/>
        <v>1900</v>
      </c>
    </row>
    <row r="279" spans="1:1" x14ac:dyDescent="0.3">
      <c r="A279">
        <f t="shared" si="22"/>
        <v>1900</v>
      </c>
    </row>
    <row r="280" spans="1:1" x14ac:dyDescent="0.3">
      <c r="A280">
        <f t="shared" si="22"/>
        <v>1900</v>
      </c>
    </row>
    <row r="281" spans="1:1" x14ac:dyDescent="0.3">
      <c r="A281">
        <f t="shared" si="22"/>
        <v>1900</v>
      </c>
    </row>
    <row r="282" spans="1:1" x14ac:dyDescent="0.3">
      <c r="A282">
        <f t="shared" si="22"/>
        <v>1900</v>
      </c>
    </row>
    <row r="283" spans="1:1" x14ac:dyDescent="0.3">
      <c r="A283">
        <f t="shared" si="22"/>
        <v>1900</v>
      </c>
    </row>
    <row r="284" spans="1:1" x14ac:dyDescent="0.3">
      <c r="A284">
        <f t="shared" si="22"/>
        <v>1900</v>
      </c>
    </row>
    <row r="285" spans="1:1" x14ac:dyDescent="0.3">
      <c r="A285">
        <f t="shared" si="22"/>
        <v>1900</v>
      </c>
    </row>
    <row r="286" spans="1:1" x14ac:dyDescent="0.3">
      <c r="A286">
        <f t="shared" si="22"/>
        <v>1900</v>
      </c>
    </row>
    <row r="287" spans="1:1" x14ac:dyDescent="0.3">
      <c r="A287">
        <f t="shared" si="22"/>
        <v>1900</v>
      </c>
    </row>
    <row r="288" spans="1:1" x14ac:dyDescent="0.3">
      <c r="A288">
        <f t="shared" si="22"/>
        <v>1900</v>
      </c>
    </row>
    <row r="289" spans="1:1" x14ac:dyDescent="0.3">
      <c r="A289">
        <f t="shared" si="22"/>
        <v>1900</v>
      </c>
    </row>
    <row r="290" spans="1:1" x14ac:dyDescent="0.3">
      <c r="A290">
        <f t="shared" si="22"/>
        <v>1900</v>
      </c>
    </row>
    <row r="291" spans="1:1" x14ac:dyDescent="0.3">
      <c r="A291">
        <f t="shared" si="22"/>
        <v>1900</v>
      </c>
    </row>
    <row r="292" spans="1:1" x14ac:dyDescent="0.3">
      <c r="A292">
        <f t="shared" si="22"/>
        <v>1900</v>
      </c>
    </row>
    <row r="293" spans="1:1" x14ac:dyDescent="0.3">
      <c r="A293">
        <f t="shared" si="22"/>
        <v>1900</v>
      </c>
    </row>
    <row r="294" spans="1:1" x14ac:dyDescent="0.3">
      <c r="A294">
        <f t="shared" si="22"/>
        <v>1900</v>
      </c>
    </row>
    <row r="295" spans="1:1" x14ac:dyDescent="0.3">
      <c r="A295">
        <f t="shared" si="22"/>
        <v>1900</v>
      </c>
    </row>
    <row r="296" spans="1:1" x14ac:dyDescent="0.3">
      <c r="A296">
        <f t="shared" si="22"/>
        <v>1900</v>
      </c>
    </row>
    <row r="297" spans="1:1" x14ac:dyDescent="0.3">
      <c r="A297">
        <f t="shared" si="22"/>
        <v>1900</v>
      </c>
    </row>
    <row r="298" spans="1:1" x14ac:dyDescent="0.3">
      <c r="A298">
        <f t="shared" si="22"/>
        <v>1900</v>
      </c>
    </row>
    <row r="299" spans="1:1" x14ac:dyDescent="0.3">
      <c r="A299">
        <f t="shared" si="22"/>
        <v>1900</v>
      </c>
    </row>
    <row r="300" spans="1:1" x14ac:dyDescent="0.3">
      <c r="A300">
        <f t="shared" si="22"/>
        <v>1900</v>
      </c>
    </row>
    <row r="301" spans="1:1" x14ac:dyDescent="0.3">
      <c r="A301">
        <f t="shared" si="22"/>
        <v>1900</v>
      </c>
    </row>
    <row r="302" spans="1:1" x14ac:dyDescent="0.3">
      <c r="A302">
        <f t="shared" si="22"/>
        <v>1900</v>
      </c>
    </row>
    <row r="303" spans="1:1" x14ac:dyDescent="0.3">
      <c r="A303">
        <f t="shared" si="22"/>
        <v>1900</v>
      </c>
    </row>
    <row r="304" spans="1:1" x14ac:dyDescent="0.3">
      <c r="A304">
        <f t="shared" si="22"/>
        <v>1900</v>
      </c>
    </row>
    <row r="305" spans="1:1" x14ac:dyDescent="0.3">
      <c r="A305">
        <f t="shared" si="22"/>
        <v>1900</v>
      </c>
    </row>
    <row r="306" spans="1:1" x14ac:dyDescent="0.3">
      <c r="A306">
        <f t="shared" si="22"/>
        <v>1900</v>
      </c>
    </row>
    <row r="307" spans="1:1" x14ac:dyDescent="0.3">
      <c r="A307">
        <f t="shared" si="22"/>
        <v>1900</v>
      </c>
    </row>
    <row r="308" spans="1:1" x14ac:dyDescent="0.3">
      <c r="A308">
        <f t="shared" si="22"/>
        <v>1900</v>
      </c>
    </row>
    <row r="309" spans="1:1" x14ac:dyDescent="0.3">
      <c r="A309">
        <f t="shared" si="22"/>
        <v>1900</v>
      </c>
    </row>
    <row r="310" spans="1:1" x14ac:dyDescent="0.3">
      <c r="A310">
        <f t="shared" si="22"/>
        <v>1900</v>
      </c>
    </row>
    <row r="311" spans="1:1" x14ac:dyDescent="0.3">
      <c r="A311">
        <f t="shared" si="22"/>
        <v>1900</v>
      </c>
    </row>
    <row r="312" spans="1:1" x14ac:dyDescent="0.3">
      <c r="A312">
        <f t="shared" si="22"/>
        <v>1900</v>
      </c>
    </row>
    <row r="313" spans="1:1" x14ac:dyDescent="0.3">
      <c r="A313">
        <f t="shared" si="22"/>
        <v>1900</v>
      </c>
    </row>
    <row r="314" spans="1:1" x14ac:dyDescent="0.3">
      <c r="A314">
        <f t="shared" si="22"/>
        <v>1900</v>
      </c>
    </row>
    <row r="315" spans="1:1" x14ac:dyDescent="0.3">
      <c r="A315">
        <f t="shared" si="22"/>
        <v>1900</v>
      </c>
    </row>
    <row r="316" spans="1:1" x14ac:dyDescent="0.3">
      <c r="A316">
        <f t="shared" si="22"/>
        <v>1900</v>
      </c>
    </row>
    <row r="317" spans="1:1" x14ac:dyDescent="0.3">
      <c r="A317">
        <f t="shared" si="22"/>
        <v>1900</v>
      </c>
    </row>
    <row r="318" spans="1:1" x14ac:dyDescent="0.3">
      <c r="A318">
        <f t="shared" si="22"/>
        <v>1900</v>
      </c>
    </row>
    <row r="319" spans="1:1" x14ac:dyDescent="0.3">
      <c r="A319">
        <f t="shared" si="22"/>
        <v>1900</v>
      </c>
    </row>
    <row r="320" spans="1:1" x14ac:dyDescent="0.3">
      <c r="A320">
        <f t="shared" si="22"/>
        <v>1900</v>
      </c>
    </row>
    <row r="321" spans="1:1" x14ac:dyDescent="0.3">
      <c r="A321">
        <f t="shared" si="22"/>
        <v>1900</v>
      </c>
    </row>
    <row r="322" spans="1:1" x14ac:dyDescent="0.3">
      <c r="A322">
        <f t="shared" si="22"/>
        <v>1900</v>
      </c>
    </row>
    <row r="323" spans="1:1" x14ac:dyDescent="0.3">
      <c r="A323">
        <f t="shared" si="22"/>
        <v>1900</v>
      </c>
    </row>
    <row r="324" spans="1:1" x14ac:dyDescent="0.3">
      <c r="A324">
        <f t="shared" si="22"/>
        <v>1900</v>
      </c>
    </row>
    <row r="325" spans="1:1" x14ac:dyDescent="0.3">
      <c r="A325">
        <f t="shared" si="22"/>
        <v>1900</v>
      </c>
    </row>
    <row r="326" spans="1:1" x14ac:dyDescent="0.3">
      <c r="A326">
        <f t="shared" si="22"/>
        <v>1900</v>
      </c>
    </row>
    <row r="327" spans="1:1" x14ac:dyDescent="0.3">
      <c r="A327">
        <f t="shared" si="22"/>
        <v>1900</v>
      </c>
    </row>
    <row r="328" spans="1:1" x14ac:dyDescent="0.3">
      <c r="A328">
        <f t="shared" si="22"/>
        <v>1900</v>
      </c>
    </row>
    <row r="329" spans="1:1" x14ac:dyDescent="0.3">
      <c r="A329">
        <f t="shared" si="22"/>
        <v>1900</v>
      </c>
    </row>
    <row r="330" spans="1:1" x14ac:dyDescent="0.3">
      <c r="A330">
        <f t="shared" ref="A330:A393" si="23">YEAR(B330)</f>
        <v>1900</v>
      </c>
    </row>
    <row r="331" spans="1:1" x14ac:dyDescent="0.3">
      <c r="A331">
        <f t="shared" si="23"/>
        <v>1900</v>
      </c>
    </row>
    <row r="332" spans="1:1" x14ac:dyDescent="0.3">
      <c r="A332">
        <f t="shared" si="23"/>
        <v>1900</v>
      </c>
    </row>
    <row r="333" spans="1:1" x14ac:dyDescent="0.3">
      <c r="A333">
        <f t="shared" si="23"/>
        <v>1900</v>
      </c>
    </row>
    <row r="334" spans="1:1" x14ac:dyDescent="0.3">
      <c r="A334">
        <f t="shared" si="23"/>
        <v>1900</v>
      </c>
    </row>
    <row r="335" spans="1:1" x14ac:dyDescent="0.3">
      <c r="A335">
        <f t="shared" si="23"/>
        <v>1900</v>
      </c>
    </row>
    <row r="336" spans="1:1" x14ac:dyDescent="0.3">
      <c r="A336">
        <f t="shared" si="23"/>
        <v>1900</v>
      </c>
    </row>
    <row r="337" spans="1:1" x14ac:dyDescent="0.3">
      <c r="A337">
        <f t="shared" si="23"/>
        <v>1900</v>
      </c>
    </row>
    <row r="338" spans="1:1" x14ac:dyDescent="0.3">
      <c r="A338">
        <f t="shared" si="23"/>
        <v>1900</v>
      </c>
    </row>
    <row r="339" spans="1:1" x14ac:dyDescent="0.3">
      <c r="A339">
        <f t="shared" si="23"/>
        <v>1900</v>
      </c>
    </row>
    <row r="340" spans="1:1" x14ac:dyDescent="0.3">
      <c r="A340">
        <f t="shared" si="23"/>
        <v>1900</v>
      </c>
    </row>
    <row r="341" spans="1:1" x14ac:dyDescent="0.3">
      <c r="A341">
        <f t="shared" si="23"/>
        <v>1900</v>
      </c>
    </row>
    <row r="342" spans="1:1" x14ac:dyDescent="0.3">
      <c r="A342">
        <f t="shared" si="23"/>
        <v>1900</v>
      </c>
    </row>
    <row r="343" spans="1:1" x14ac:dyDescent="0.3">
      <c r="A343">
        <f t="shared" si="23"/>
        <v>1900</v>
      </c>
    </row>
    <row r="344" spans="1:1" x14ac:dyDescent="0.3">
      <c r="A344">
        <f t="shared" si="23"/>
        <v>1900</v>
      </c>
    </row>
    <row r="345" spans="1:1" x14ac:dyDescent="0.3">
      <c r="A345">
        <f t="shared" si="23"/>
        <v>1900</v>
      </c>
    </row>
    <row r="346" spans="1:1" x14ac:dyDescent="0.3">
      <c r="A346">
        <f t="shared" si="23"/>
        <v>1900</v>
      </c>
    </row>
    <row r="347" spans="1:1" x14ac:dyDescent="0.3">
      <c r="A347">
        <f t="shared" si="23"/>
        <v>1900</v>
      </c>
    </row>
    <row r="348" spans="1:1" x14ac:dyDescent="0.3">
      <c r="A348">
        <f t="shared" si="23"/>
        <v>1900</v>
      </c>
    </row>
    <row r="349" spans="1:1" x14ac:dyDescent="0.3">
      <c r="A349">
        <f t="shared" si="23"/>
        <v>1900</v>
      </c>
    </row>
    <row r="350" spans="1:1" x14ac:dyDescent="0.3">
      <c r="A350">
        <f t="shared" si="23"/>
        <v>1900</v>
      </c>
    </row>
    <row r="351" spans="1:1" x14ac:dyDescent="0.3">
      <c r="A351">
        <f t="shared" si="23"/>
        <v>1900</v>
      </c>
    </row>
    <row r="352" spans="1:1" x14ac:dyDescent="0.3">
      <c r="A352">
        <f t="shared" si="23"/>
        <v>1900</v>
      </c>
    </row>
    <row r="353" spans="1:1" x14ac:dyDescent="0.3">
      <c r="A353">
        <f t="shared" si="23"/>
        <v>1900</v>
      </c>
    </row>
    <row r="354" spans="1:1" x14ac:dyDescent="0.3">
      <c r="A354">
        <f t="shared" si="23"/>
        <v>1900</v>
      </c>
    </row>
    <row r="355" spans="1:1" x14ac:dyDescent="0.3">
      <c r="A355">
        <f t="shared" si="23"/>
        <v>1900</v>
      </c>
    </row>
    <row r="356" spans="1:1" x14ac:dyDescent="0.3">
      <c r="A356">
        <f t="shared" si="23"/>
        <v>1900</v>
      </c>
    </row>
    <row r="357" spans="1:1" x14ac:dyDescent="0.3">
      <c r="A357">
        <f t="shared" si="23"/>
        <v>1900</v>
      </c>
    </row>
    <row r="358" spans="1:1" x14ac:dyDescent="0.3">
      <c r="A358">
        <f t="shared" si="23"/>
        <v>1900</v>
      </c>
    </row>
    <row r="359" spans="1:1" x14ac:dyDescent="0.3">
      <c r="A359">
        <f t="shared" si="23"/>
        <v>1900</v>
      </c>
    </row>
    <row r="360" spans="1:1" x14ac:dyDescent="0.3">
      <c r="A360">
        <f t="shared" si="23"/>
        <v>1900</v>
      </c>
    </row>
    <row r="361" spans="1:1" x14ac:dyDescent="0.3">
      <c r="A361">
        <f t="shared" si="23"/>
        <v>1900</v>
      </c>
    </row>
    <row r="362" spans="1:1" x14ac:dyDescent="0.3">
      <c r="A362">
        <f t="shared" si="23"/>
        <v>1900</v>
      </c>
    </row>
    <row r="363" spans="1:1" x14ac:dyDescent="0.3">
      <c r="A363">
        <f t="shared" si="23"/>
        <v>1900</v>
      </c>
    </row>
    <row r="364" spans="1:1" x14ac:dyDescent="0.3">
      <c r="A364">
        <f t="shared" si="23"/>
        <v>1900</v>
      </c>
    </row>
    <row r="365" spans="1:1" x14ac:dyDescent="0.3">
      <c r="A365">
        <f t="shared" si="23"/>
        <v>1900</v>
      </c>
    </row>
    <row r="366" spans="1:1" x14ac:dyDescent="0.3">
      <c r="A366">
        <f t="shared" si="23"/>
        <v>1900</v>
      </c>
    </row>
    <row r="367" spans="1:1" x14ac:dyDescent="0.3">
      <c r="A367">
        <f t="shared" si="23"/>
        <v>1900</v>
      </c>
    </row>
    <row r="368" spans="1:1" x14ac:dyDescent="0.3">
      <c r="A368">
        <f t="shared" si="23"/>
        <v>1900</v>
      </c>
    </row>
    <row r="369" spans="1:1" x14ac:dyDescent="0.3">
      <c r="A369">
        <f t="shared" si="23"/>
        <v>1900</v>
      </c>
    </row>
    <row r="370" spans="1:1" x14ac:dyDescent="0.3">
      <c r="A370">
        <f t="shared" si="23"/>
        <v>1900</v>
      </c>
    </row>
    <row r="371" spans="1:1" x14ac:dyDescent="0.3">
      <c r="A371">
        <f t="shared" si="23"/>
        <v>1900</v>
      </c>
    </row>
    <row r="372" spans="1:1" x14ac:dyDescent="0.3">
      <c r="A372">
        <f t="shared" si="23"/>
        <v>1900</v>
      </c>
    </row>
    <row r="373" spans="1:1" x14ac:dyDescent="0.3">
      <c r="A373">
        <f t="shared" si="23"/>
        <v>1900</v>
      </c>
    </row>
    <row r="374" spans="1:1" x14ac:dyDescent="0.3">
      <c r="A374">
        <f t="shared" si="23"/>
        <v>1900</v>
      </c>
    </row>
    <row r="375" spans="1:1" x14ac:dyDescent="0.3">
      <c r="A375">
        <f t="shared" si="23"/>
        <v>1900</v>
      </c>
    </row>
    <row r="376" spans="1:1" x14ac:dyDescent="0.3">
      <c r="A376">
        <f t="shared" si="23"/>
        <v>1900</v>
      </c>
    </row>
    <row r="377" spans="1:1" x14ac:dyDescent="0.3">
      <c r="A377">
        <f t="shared" si="23"/>
        <v>1900</v>
      </c>
    </row>
    <row r="378" spans="1:1" x14ac:dyDescent="0.3">
      <c r="A378">
        <f t="shared" si="23"/>
        <v>1900</v>
      </c>
    </row>
    <row r="379" spans="1:1" x14ac:dyDescent="0.3">
      <c r="A379">
        <f t="shared" si="23"/>
        <v>1900</v>
      </c>
    </row>
    <row r="380" spans="1:1" x14ac:dyDescent="0.3">
      <c r="A380">
        <f t="shared" si="23"/>
        <v>1900</v>
      </c>
    </row>
    <row r="381" spans="1:1" x14ac:dyDescent="0.3">
      <c r="A381">
        <f t="shared" si="23"/>
        <v>1900</v>
      </c>
    </row>
    <row r="382" spans="1:1" x14ac:dyDescent="0.3">
      <c r="A382">
        <f t="shared" si="23"/>
        <v>1900</v>
      </c>
    </row>
    <row r="383" spans="1:1" x14ac:dyDescent="0.3">
      <c r="A383">
        <f t="shared" si="23"/>
        <v>1900</v>
      </c>
    </row>
    <row r="384" spans="1:1" x14ac:dyDescent="0.3">
      <c r="A384">
        <f t="shared" si="23"/>
        <v>1900</v>
      </c>
    </row>
    <row r="385" spans="1:1" x14ac:dyDescent="0.3">
      <c r="A385">
        <f t="shared" si="23"/>
        <v>1900</v>
      </c>
    </row>
    <row r="386" spans="1:1" x14ac:dyDescent="0.3">
      <c r="A386">
        <f t="shared" si="23"/>
        <v>1900</v>
      </c>
    </row>
    <row r="387" spans="1:1" x14ac:dyDescent="0.3">
      <c r="A387">
        <f t="shared" si="23"/>
        <v>1900</v>
      </c>
    </row>
    <row r="388" spans="1:1" x14ac:dyDescent="0.3">
      <c r="A388">
        <f t="shared" si="23"/>
        <v>1900</v>
      </c>
    </row>
    <row r="389" spans="1:1" x14ac:dyDescent="0.3">
      <c r="A389">
        <f t="shared" si="23"/>
        <v>1900</v>
      </c>
    </row>
    <row r="390" spans="1:1" x14ac:dyDescent="0.3">
      <c r="A390">
        <f t="shared" si="23"/>
        <v>1900</v>
      </c>
    </row>
    <row r="391" spans="1:1" x14ac:dyDescent="0.3">
      <c r="A391">
        <f t="shared" si="23"/>
        <v>1900</v>
      </c>
    </row>
    <row r="392" spans="1:1" x14ac:dyDescent="0.3">
      <c r="A392">
        <f t="shared" si="23"/>
        <v>1900</v>
      </c>
    </row>
    <row r="393" spans="1:1" x14ac:dyDescent="0.3">
      <c r="A393">
        <f t="shared" si="23"/>
        <v>1900</v>
      </c>
    </row>
    <row r="394" spans="1:1" x14ac:dyDescent="0.3">
      <c r="A394">
        <f t="shared" ref="A394:A457" si="24">YEAR(B394)</f>
        <v>1900</v>
      </c>
    </row>
    <row r="395" spans="1:1" x14ac:dyDescent="0.3">
      <c r="A395">
        <f t="shared" si="24"/>
        <v>1900</v>
      </c>
    </row>
    <row r="396" spans="1:1" x14ac:dyDescent="0.3">
      <c r="A396">
        <f t="shared" si="24"/>
        <v>1900</v>
      </c>
    </row>
    <row r="397" spans="1:1" x14ac:dyDescent="0.3">
      <c r="A397">
        <f t="shared" si="24"/>
        <v>1900</v>
      </c>
    </row>
    <row r="398" spans="1:1" x14ac:dyDescent="0.3">
      <c r="A398">
        <f t="shared" si="24"/>
        <v>1900</v>
      </c>
    </row>
    <row r="399" spans="1:1" x14ac:dyDescent="0.3">
      <c r="A399">
        <f t="shared" si="24"/>
        <v>1900</v>
      </c>
    </row>
    <row r="400" spans="1:1" x14ac:dyDescent="0.3">
      <c r="A400">
        <f t="shared" si="24"/>
        <v>1900</v>
      </c>
    </row>
    <row r="401" spans="1:1" x14ac:dyDescent="0.3">
      <c r="A401">
        <f t="shared" si="24"/>
        <v>1900</v>
      </c>
    </row>
    <row r="402" spans="1:1" x14ac:dyDescent="0.3">
      <c r="A402">
        <f t="shared" si="24"/>
        <v>1900</v>
      </c>
    </row>
    <row r="403" spans="1:1" x14ac:dyDescent="0.3">
      <c r="A403">
        <f t="shared" si="24"/>
        <v>1900</v>
      </c>
    </row>
    <row r="404" spans="1:1" x14ac:dyDescent="0.3">
      <c r="A404">
        <f t="shared" si="24"/>
        <v>1900</v>
      </c>
    </row>
    <row r="405" spans="1:1" x14ac:dyDescent="0.3">
      <c r="A405">
        <f t="shared" si="24"/>
        <v>1900</v>
      </c>
    </row>
    <row r="406" spans="1:1" x14ac:dyDescent="0.3">
      <c r="A406">
        <f t="shared" si="24"/>
        <v>1900</v>
      </c>
    </row>
    <row r="407" spans="1:1" x14ac:dyDescent="0.3">
      <c r="A407">
        <f t="shared" si="24"/>
        <v>1900</v>
      </c>
    </row>
    <row r="408" spans="1:1" x14ac:dyDescent="0.3">
      <c r="A408">
        <f t="shared" si="24"/>
        <v>1900</v>
      </c>
    </row>
    <row r="409" spans="1:1" x14ac:dyDescent="0.3">
      <c r="A409">
        <f t="shared" si="24"/>
        <v>1900</v>
      </c>
    </row>
    <row r="410" spans="1:1" x14ac:dyDescent="0.3">
      <c r="A410">
        <f t="shared" si="24"/>
        <v>1900</v>
      </c>
    </row>
    <row r="411" spans="1:1" x14ac:dyDescent="0.3">
      <c r="A411">
        <f t="shared" si="24"/>
        <v>1900</v>
      </c>
    </row>
    <row r="412" spans="1:1" x14ac:dyDescent="0.3">
      <c r="A412">
        <f t="shared" si="24"/>
        <v>1900</v>
      </c>
    </row>
    <row r="413" spans="1:1" x14ac:dyDescent="0.3">
      <c r="A413">
        <f t="shared" si="24"/>
        <v>1900</v>
      </c>
    </row>
    <row r="414" spans="1:1" x14ac:dyDescent="0.3">
      <c r="A414">
        <f t="shared" si="24"/>
        <v>1900</v>
      </c>
    </row>
    <row r="415" spans="1:1" x14ac:dyDescent="0.3">
      <c r="A415">
        <f t="shared" si="24"/>
        <v>1900</v>
      </c>
    </row>
    <row r="416" spans="1:1" x14ac:dyDescent="0.3">
      <c r="A416">
        <f t="shared" si="24"/>
        <v>1900</v>
      </c>
    </row>
    <row r="417" spans="1:1" x14ac:dyDescent="0.3">
      <c r="A417">
        <f t="shared" si="24"/>
        <v>1900</v>
      </c>
    </row>
    <row r="418" spans="1:1" x14ac:dyDescent="0.3">
      <c r="A418">
        <f t="shared" si="24"/>
        <v>1900</v>
      </c>
    </row>
    <row r="419" spans="1:1" x14ac:dyDescent="0.3">
      <c r="A419">
        <f t="shared" si="24"/>
        <v>1900</v>
      </c>
    </row>
    <row r="420" spans="1:1" x14ac:dyDescent="0.3">
      <c r="A420">
        <f t="shared" si="24"/>
        <v>1900</v>
      </c>
    </row>
    <row r="421" spans="1:1" x14ac:dyDescent="0.3">
      <c r="A421">
        <f t="shared" si="24"/>
        <v>1900</v>
      </c>
    </row>
    <row r="422" spans="1:1" x14ac:dyDescent="0.3">
      <c r="A422">
        <f t="shared" si="24"/>
        <v>1900</v>
      </c>
    </row>
    <row r="423" spans="1:1" x14ac:dyDescent="0.3">
      <c r="A423">
        <f t="shared" si="24"/>
        <v>1900</v>
      </c>
    </row>
    <row r="424" spans="1:1" x14ac:dyDescent="0.3">
      <c r="A424">
        <f t="shared" si="24"/>
        <v>1900</v>
      </c>
    </row>
    <row r="425" spans="1:1" x14ac:dyDescent="0.3">
      <c r="A425">
        <f t="shared" si="24"/>
        <v>1900</v>
      </c>
    </row>
    <row r="426" spans="1:1" x14ac:dyDescent="0.3">
      <c r="A426">
        <f t="shared" si="24"/>
        <v>1900</v>
      </c>
    </row>
    <row r="427" spans="1:1" x14ac:dyDescent="0.3">
      <c r="A427">
        <f t="shared" si="24"/>
        <v>1900</v>
      </c>
    </row>
    <row r="428" spans="1:1" x14ac:dyDescent="0.3">
      <c r="A428">
        <f t="shared" si="24"/>
        <v>1900</v>
      </c>
    </row>
    <row r="429" spans="1:1" x14ac:dyDescent="0.3">
      <c r="A429">
        <f t="shared" si="24"/>
        <v>1900</v>
      </c>
    </row>
    <row r="430" spans="1:1" x14ac:dyDescent="0.3">
      <c r="A430">
        <f t="shared" si="24"/>
        <v>1900</v>
      </c>
    </row>
    <row r="431" spans="1:1" x14ac:dyDescent="0.3">
      <c r="A431">
        <f t="shared" si="24"/>
        <v>1900</v>
      </c>
    </row>
    <row r="432" spans="1:1" x14ac:dyDescent="0.3">
      <c r="A432">
        <f t="shared" si="24"/>
        <v>1900</v>
      </c>
    </row>
    <row r="433" spans="1:1" x14ac:dyDescent="0.3">
      <c r="A433">
        <f t="shared" si="24"/>
        <v>1900</v>
      </c>
    </row>
    <row r="434" spans="1:1" x14ac:dyDescent="0.3">
      <c r="A434">
        <f t="shared" si="24"/>
        <v>1900</v>
      </c>
    </row>
    <row r="435" spans="1:1" x14ac:dyDescent="0.3">
      <c r="A435">
        <f t="shared" si="24"/>
        <v>1900</v>
      </c>
    </row>
    <row r="436" spans="1:1" x14ac:dyDescent="0.3">
      <c r="A436">
        <f t="shared" si="24"/>
        <v>1900</v>
      </c>
    </row>
    <row r="437" spans="1:1" x14ac:dyDescent="0.3">
      <c r="A437">
        <f t="shared" si="24"/>
        <v>1900</v>
      </c>
    </row>
    <row r="438" spans="1:1" x14ac:dyDescent="0.3">
      <c r="A438">
        <f t="shared" si="24"/>
        <v>1900</v>
      </c>
    </row>
    <row r="439" spans="1:1" x14ac:dyDescent="0.3">
      <c r="A439">
        <f t="shared" si="24"/>
        <v>1900</v>
      </c>
    </row>
    <row r="440" spans="1:1" x14ac:dyDescent="0.3">
      <c r="A440">
        <f t="shared" si="24"/>
        <v>1900</v>
      </c>
    </row>
    <row r="441" spans="1:1" x14ac:dyDescent="0.3">
      <c r="A441">
        <f t="shared" si="24"/>
        <v>1900</v>
      </c>
    </row>
    <row r="442" spans="1:1" x14ac:dyDescent="0.3">
      <c r="A442">
        <f t="shared" si="24"/>
        <v>1900</v>
      </c>
    </row>
    <row r="443" spans="1:1" x14ac:dyDescent="0.3">
      <c r="A443">
        <f t="shared" si="24"/>
        <v>1900</v>
      </c>
    </row>
    <row r="444" spans="1:1" x14ac:dyDescent="0.3">
      <c r="A444">
        <f t="shared" si="24"/>
        <v>1900</v>
      </c>
    </row>
    <row r="445" spans="1:1" x14ac:dyDescent="0.3">
      <c r="A445">
        <f t="shared" si="24"/>
        <v>1900</v>
      </c>
    </row>
    <row r="446" spans="1:1" x14ac:dyDescent="0.3">
      <c r="A446">
        <f t="shared" si="24"/>
        <v>1900</v>
      </c>
    </row>
    <row r="447" spans="1:1" x14ac:dyDescent="0.3">
      <c r="A447">
        <f t="shared" si="24"/>
        <v>1900</v>
      </c>
    </row>
    <row r="448" spans="1:1" x14ac:dyDescent="0.3">
      <c r="A448">
        <f t="shared" si="24"/>
        <v>1900</v>
      </c>
    </row>
    <row r="449" spans="1:1" x14ac:dyDescent="0.3">
      <c r="A449">
        <f t="shared" si="24"/>
        <v>1900</v>
      </c>
    </row>
    <row r="450" spans="1:1" x14ac:dyDescent="0.3">
      <c r="A450">
        <f t="shared" si="24"/>
        <v>1900</v>
      </c>
    </row>
    <row r="451" spans="1:1" x14ac:dyDescent="0.3">
      <c r="A451">
        <f t="shared" si="24"/>
        <v>1900</v>
      </c>
    </row>
    <row r="452" spans="1:1" x14ac:dyDescent="0.3">
      <c r="A452">
        <f t="shared" si="24"/>
        <v>1900</v>
      </c>
    </row>
    <row r="453" spans="1:1" x14ac:dyDescent="0.3">
      <c r="A453">
        <f t="shared" si="24"/>
        <v>1900</v>
      </c>
    </row>
    <row r="454" spans="1:1" x14ac:dyDescent="0.3">
      <c r="A454">
        <f t="shared" si="24"/>
        <v>1900</v>
      </c>
    </row>
    <row r="455" spans="1:1" x14ac:dyDescent="0.3">
      <c r="A455">
        <f t="shared" si="24"/>
        <v>1900</v>
      </c>
    </row>
    <row r="456" spans="1:1" x14ac:dyDescent="0.3">
      <c r="A456">
        <f t="shared" si="24"/>
        <v>1900</v>
      </c>
    </row>
    <row r="457" spans="1:1" x14ac:dyDescent="0.3">
      <c r="A457">
        <f t="shared" si="24"/>
        <v>1900</v>
      </c>
    </row>
    <row r="458" spans="1:1" x14ac:dyDescent="0.3">
      <c r="A458">
        <f t="shared" ref="A458:A507" si="25">YEAR(B458)</f>
        <v>1900</v>
      </c>
    </row>
    <row r="459" spans="1:1" x14ac:dyDescent="0.3">
      <c r="A459">
        <f t="shared" si="25"/>
        <v>1900</v>
      </c>
    </row>
    <row r="460" spans="1:1" x14ac:dyDescent="0.3">
      <c r="A460">
        <f t="shared" si="25"/>
        <v>1900</v>
      </c>
    </row>
    <row r="461" spans="1:1" x14ac:dyDescent="0.3">
      <c r="A461">
        <f t="shared" si="25"/>
        <v>1900</v>
      </c>
    </row>
    <row r="462" spans="1:1" x14ac:dyDescent="0.3">
      <c r="A462">
        <f t="shared" si="25"/>
        <v>1900</v>
      </c>
    </row>
    <row r="463" spans="1:1" x14ac:dyDescent="0.3">
      <c r="A463">
        <f t="shared" si="25"/>
        <v>1900</v>
      </c>
    </row>
    <row r="464" spans="1:1" x14ac:dyDescent="0.3">
      <c r="A464">
        <f t="shared" si="25"/>
        <v>1900</v>
      </c>
    </row>
    <row r="465" spans="1:1" x14ac:dyDescent="0.3">
      <c r="A465">
        <f t="shared" si="25"/>
        <v>1900</v>
      </c>
    </row>
    <row r="466" spans="1:1" x14ac:dyDescent="0.3">
      <c r="A466">
        <f t="shared" si="25"/>
        <v>1900</v>
      </c>
    </row>
    <row r="467" spans="1:1" x14ac:dyDescent="0.3">
      <c r="A467">
        <f t="shared" si="25"/>
        <v>1900</v>
      </c>
    </row>
    <row r="468" spans="1:1" x14ac:dyDescent="0.3">
      <c r="A468">
        <f t="shared" si="25"/>
        <v>1900</v>
      </c>
    </row>
    <row r="469" spans="1:1" x14ac:dyDescent="0.3">
      <c r="A469">
        <f t="shared" si="25"/>
        <v>1900</v>
      </c>
    </row>
    <row r="470" spans="1:1" x14ac:dyDescent="0.3">
      <c r="A470">
        <f t="shared" si="25"/>
        <v>1900</v>
      </c>
    </row>
    <row r="471" spans="1:1" x14ac:dyDescent="0.3">
      <c r="A471">
        <f t="shared" si="25"/>
        <v>1900</v>
      </c>
    </row>
    <row r="472" spans="1:1" x14ac:dyDescent="0.3">
      <c r="A472">
        <f t="shared" si="25"/>
        <v>1900</v>
      </c>
    </row>
    <row r="473" spans="1:1" x14ac:dyDescent="0.3">
      <c r="A473">
        <f t="shared" si="25"/>
        <v>1900</v>
      </c>
    </row>
    <row r="474" spans="1:1" x14ac:dyDescent="0.3">
      <c r="A474">
        <f t="shared" si="25"/>
        <v>1900</v>
      </c>
    </row>
    <row r="475" spans="1:1" x14ac:dyDescent="0.3">
      <c r="A475">
        <f t="shared" si="25"/>
        <v>1900</v>
      </c>
    </row>
    <row r="476" spans="1:1" x14ac:dyDescent="0.3">
      <c r="A476">
        <f t="shared" si="25"/>
        <v>1900</v>
      </c>
    </row>
    <row r="477" spans="1:1" x14ac:dyDescent="0.3">
      <c r="A477">
        <f t="shared" si="25"/>
        <v>1900</v>
      </c>
    </row>
    <row r="478" spans="1:1" x14ac:dyDescent="0.3">
      <c r="A478">
        <f t="shared" si="25"/>
        <v>1900</v>
      </c>
    </row>
    <row r="479" spans="1:1" x14ac:dyDescent="0.3">
      <c r="A479">
        <f t="shared" si="25"/>
        <v>1900</v>
      </c>
    </row>
    <row r="480" spans="1:1" x14ac:dyDescent="0.3">
      <c r="A480">
        <f t="shared" si="25"/>
        <v>1900</v>
      </c>
    </row>
    <row r="481" spans="1:1" x14ac:dyDescent="0.3">
      <c r="A481">
        <f t="shared" si="25"/>
        <v>1900</v>
      </c>
    </row>
    <row r="482" spans="1:1" x14ac:dyDescent="0.3">
      <c r="A482">
        <f t="shared" si="25"/>
        <v>1900</v>
      </c>
    </row>
    <row r="483" spans="1:1" x14ac:dyDescent="0.3">
      <c r="A483">
        <f t="shared" si="25"/>
        <v>1900</v>
      </c>
    </row>
    <row r="484" spans="1:1" x14ac:dyDescent="0.3">
      <c r="A484">
        <f t="shared" si="25"/>
        <v>1900</v>
      </c>
    </row>
    <row r="485" spans="1:1" x14ac:dyDescent="0.3">
      <c r="A485">
        <f t="shared" si="25"/>
        <v>1900</v>
      </c>
    </row>
    <row r="486" spans="1:1" x14ac:dyDescent="0.3">
      <c r="A486">
        <f t="shared" si="25"/>
        <v>1900</v>
      </c>
    </row>
    <row r="487" spans="1:1" x14ac:dyDescent="0.3">
      <c r="A487">
        <f t="shared" si="25"/>
        <v>1900</v>
      </c>
    </row>
    <row r="488" spans="1:1" x14ac:dyDescent="0.3">
      <c r="A488">
        <f t="shared" si="25"/>
        <v>1900</v>
      </c>
    </row>
    <row r="489" spans="1:1" x14ac:dyDescent="0.3">
      <c r="A489">
        <f t="shared" si="25"/>
        <v>1900</v>
      </c>
    </row>
    <row r="490" spans="1:1" x14ac:dyDescent="0.3">
      <c r="A490">
        <f t="shared" si="25"/>
        <v>1900</v>
      </c>
    </row>
    <row r="491" spans="1:1" x14ac:dyDescent="0.3">
      <c r="A491">
        <f t="shared" si="25"/>
        <v>1900</v>
      </c>
    </row>
    <row r="492" spans="1:1" x14ac:dyDescent="0.3">
      <c r="A492">
        <f t="shared" si="25"/>
        <v>1900</v>
      </c>
    </row>
    <row r="493" spans="1:1" x14ac:dyDescent="0.3">
      <c r="A493">
        <f t="shared" si="25"/>
        <v>1900</v>
      </c>
    </row>
    <row r="494" spans="1:1" x14ac:dyDescent="0.3">
      <c r="A494">
        <f t="shared" si="25"/>
        <v>1900</v>
      </c>
    </row>
    <row r="495" spans="1:1" x14ac:dyDescent="0.3">
      <c r="A495">
        <f t="shared" si="25"/>
        <v>1900</v>
      </c>
    </row>
    <row r="496" spans="1:1" x14ac:dyDescent="0.3">
      <c r="A496">
        <f t="shared" si="25"/>
        <v>1900</v>
      </c>
    </row>
    <row r="497" spans="1:1" x14ac:dyDescent="0.3">
      <c r="A497">
        <f t="shared" si="25"/>
        <v>1900</v>
      </c>
    </row>
    <row r="498" spans="1:1" x14ac:dyDescent="0.3">
      <c r="A498">
        <f t="shared" si="25"/>
        <v>1900</v>
      </c>
    </row>
    <row r="499" spans="1:1" x14ac:dyDescent="0.3">
      <c r="A499">
        <f t="shared" si="25"/>
        <v>1900</v>
      </c>
    </row>
    <row r="500" spans="1:1" x14ac:dyDescent="0.3">
      <c r="A500">
        <f t="shared" si="25"/>
        <v>1900</v>
      </c>
    </row>
    <row r="501" spans="1:1" x14ac:dyDescent="0.3">
      <c r="A501">
        <f t="shared" si="25"/>
        <v>1900</v>
      </c>
    </row>
    <row r="502" spans="1:1" x14ac:dyDescent="0.3">
      <c r="A502">
        <f t="shared" si="25"/>
        <v>1900</v>
      </c>
    </row>
    <row r="503" spans="1:1" x14ac:dyDescent="0.3">
      <c r="A503">
        <f t="shared" si="25"/>
        <v>1900</v>
      </c>
    </row>
    <row r="504" spans="1:1" x14ac:dyDescent="0.3">
      <c r="A504">
        <f t="shared" si="25"/>
        <v>1900</v>
      </c>
    </row>
    <row r="505" spans="1:1" x14ac:dyDescent="0.3">
      <c r="A505">
        <f t="shared" si="25"/>
        <v>1900</v>
      </c>
    </row>
    <row r="506" spans="1:1" x14ac:dyDescent="0.3">
      <c r="A506">
        <f t="shared" si="25"/>
        <v>1900</v>
      </c>
    </row>
    <row r="507" spans="1:1" x14ac:dyDescent="0.3">
      <c r="A507">
        <f t="shared" si="25"/>
        <v>1900</v>
      </c>
    </row>
  </sheetData>
  <mergeCells count="3">
    <mergeCell ref="A6:H6"/>
    <mergeCell ref="K6:Q6"/>
    <mergeCell ref="S6:Y6"/>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97F0C-1099-4E80-B3E3-376D171C8E1C}">
  <sheetPr codeName="Sheet26"/>
  <dimension ref="A1:AW181"/>
  <sheetViews>
    <sheetView showGridLines="0" zoomScaleNormal="100" workbookViewId="0">
      <pane xSplit="3" ySplit="9" topLeftCell="D10" activePane="bottomRight" state="frozen"/>
      <selection activeCell="C1" sqref="C1"/>
      <selection pane="topRight" activeCell="D1" sqref="D1"/>
      <selection pane="bottomLeft" activeCell="C10" sqref="C10"/>
      <selection pane="bottomRight" activeCell="C1" sqref="C1"/>
    </sheetView>
  </sheetViews>
  <sheetFormatPr defaultColWidth="8.6640625" defaultRowHeight="14.4" x14ac:dyDescent="0.3"/>
  <cols>
    <col min="1" max="2" width="8.6640625" style="411" hidden="1" customWidth="1"/>
    <col min="3" max="3" width="9.6640625" style="570" bestFit="1" customWidth="1"/>
    <col min="4" max="21" width="8.6640625" style="411"/>
    <col min="22" max="22" width="8.6640625" style="571"/>
    <col min="23" max="36" width="8.6640625" style="411"/>
  </cols>
  <sheetData>
    <row r="1" spans="1:49" x14ac:dyDescent="0.3">
      <c r="C1" s="567" t="s">
        <v>73</v>
      </c>
      <c r="D1" s="568" t="s">
        <v>82</v>
      </c>
      <c r="E1" s="568" t="s">
        <v>667</v>
      </c>
      <c r="V1" s="411"/>
      <c r="X1" s="568" t="s">
        <v>668</v>
      </c>
      <c r="Y1" s="569" t="s">
        <v>73</v>
      </c>
      <c r="Z1" s="568" t="s">
        <v>82</v>
      </c>
      <c r="AA1" s="568" t="s">
        <v>667</v>
      </c>
      <c r="AB1" s="568" t="s">
        <v>669</v>
      </c>
      <c r="AH1" s="411">
        <f>MIN($C$2:$C$4)</f>
        <v>2019</v>
      </c>
      <c r="AM1" s="3"/>
      <c r="AN1" s="3"/>
      <c r="AO1" s="3"/>
      <c r="AP1" s="3"/>
      <c r="AQ1" s="3"/>
      <c r="AR1" s="3"/>
      <c r="AS1" s="3"/>
      <c r="AT1" s="3"/>
      <c r="AU1" s="3"/>
      <c r="AV1" s="3"/>
      <c r="AW1" s="3"/>
    </row>
    <row r="2" spans="1:49" x14ac:dyDescent="0.3">
      <c r="C2" s="570">
        <v>2019</v>
      </c>
      <c r="D2" s="411" t="s">
        <v>670</v>
      </c>
      <c r="E2" s="411">
        <v>233.9</v>
      </c>
      <c r="V2" s="411"/>
      <c r="X2" s="411" t="s">
        <v>671</v>
      </c>
      <c r="Y2" s="571" t="s">
        <v>103</v>
      </c>
      <c r="Z2" s="411" t="s">
        <v>670</v>
      </c>
      <c r="AA2" s="572">
        <v>157.80000000000001</v>
      </c>
      <c r="AB2" s="411">
        <v>2018</v>
      </c>
    </row>
    <row r="3" spans="1:49" x14ac:dyDescent="0.3">
      <c r="C3" s="570">
        <v>2019</v>
      </c>
      <c r="D3" s="411" t="s">
        <v>672</v>
      </c>
      <c r="E3" s="411">
        <v>22.7</v>
      </c>
      <c r="V3" s="411"/>
      <c r="X3" s="411" t="s">
        <v>671</v>
      </c>
      <c r="Y3" s="571" t="s">
        <v>103</v>
      </c>
      <c r="Z3" s="411" t="s">
        <v>672</v>
      </c>
      <c r="AA3" s="572">
        <v>24.1</v>
      </c>
      <c r="AB3" s="411">
        <v>2018</v>
      </c>
      <c r="AG3" s="411" t="str">
        <f>IFERROR(IF(#REF!=$AF$1,IF($AH$1&lt;=(AG2-1),AG2-1,""),IF($AH$1=VALUE(LEFT(AG2,4)),"",CONCATENATE(VALUE(LEFT(AG2,4))-1,"-",RIGHT(LEFT(AG2,4),2)))),"")</f>
        <v/>
      </c>
    </row>
    <row r="4" spans="1:49" x14ac:dyDescent="0.3">
      <c r="C4" s="570">
        <v>2019</v>
      </c>
      <c r="D4" s="411" t="s">
        <v>673</v>
      </c>
      <c r="E4" s="411">
        <v>145.6</v>
      </c>
      <c r="V4" s="411"/>
      <c r="X4" s="411" t="s">
        <v>671</v>
      </c>
      <c r="Y4" s="571" t="s">
        <v>103</v>
      </c>
      <c r="Z4" s="411" t="s">
        <v>674</v>
      </c>
      <c r="AA4" s="572">
        <v>116.80000000000001</v>
      </c>
      <c r="AB4" s="411">
        <v>2018</v>
      </c>
      <c r="AG4" s="411" t="str">
        <f>IFERROR(IF(#REF!=$AF$1,IF($AH$1&lt;=(AG3-1),AG3-1,""),IF($AH$1=VALUE(LEFT(AG3,4)),"",CONCATENATE(VALUE(LEFT(AG3,4))-1,"-",RIGHT(LEFT(AG3,4),2)))),"")</f>
        <v/>
      </c>
    </row>
    <row r="7" spans="1:49" ht="15" thickBot="1" x14ac:dyDescent="0.35">
      <c r="C7" s="646" t="s">
        <v>675</v>
      </c>
      <c r="D7" s="646"/>
      <c r="E7" s="646"/>
      <c r="F7" s="646"/>
      <c r="G7" s="646"/>
      <c r="H7" s="646"/>
      <c r="I7" s="646"/>
      <c r="J7" s="646"/>
      <c r="K7" s="646"/>
      <c r="L7" s="646"/>
      <c r="M7" s="646"/>
      <c r="N7" s="646"/>
      <c r="O7" s="646"/>
      <c r="P7" s="646"/>
      <c r="Q7" s="646"/>
      <c r="R7" s="646"/>
      <c r="S7" s="646"/>
      <c r="T7" s="646"/>
      <c r="U7" s="646"/>
      <c r="V7" s="646"/>
      <c r="W7" s="646"/>
      <c r="X7" s="646"/>
      <c r="Y7" s="646"/>
      <c r="Z7" s="646"/>
      <c r="AA7" s="646"/>
      <c r="AB7" s="646"/>
      <c r="AC7" s="646"/>
      <c r="AD7" s="646"/>
      <c r="AE7" s="646"/>
      <c r="AF7" s="646"/>
      <c r="AG7" s="646"/>
      <c r="AH7" s="646"/>
      <c r="AI7" s="646"/>
      <c r="AJ7" s="646"/>
    </row>
    <row r="8" spans="1:49" ht="30" customHeight="1" x14ac:dyDescent="0.3">
      <c r="A8" s="107" t="s">
        <v>82</v>
      </c>
      <c r="B8" s="107" t="s">
        <v>676</v>
      </c>
      <c r="C8" s="573"/>
      <c r="D8" s="643" t="s">
        <v>670</v>
      </c>
      <c r="E8" s="644"/>
      <c r="F8" s="645"/>
      <c r="G8" s="643" t="s">
        <v>672</v>
      </c>
      <c r="H8" s="644"/>
      <c r="I8" s="645"/>
      <c r="J8" s="643" t="s">
        <v>674</v>
      </c>
      <c r="K8" s="644"/>
      <c r="L8" s="645"/>
      <c r="M8" s="643" t="s">
        <v>87</v>
      </c>
      <c r="N8" s="644"/>
      <c r="O8" s="645"/>
      <c r="P8" s="643" t="s">
        <v>88</v>
      </c>
      <c r="Q8" s="644"/>
      <c r="R8" s="645"/>
      <c r="S8" s="643" t="s">
        <v>90</v>
      </c>
      <c r="T8" s="644"/>
      <c r="U8" s="645"/>
      <c r="V8" s="643" t="s">
        <v>648</v>
      </c>
      <c r="W8" s="644"/>
      <c r="X8" s="645"/>
      <c r="Y8" s="643" t="s">
        <v>179</v>
      </c>
      <c r="Z8" s="644"/>
      <c r="AA8" s="645"/>
      <c r="AB8" s="643" t="s">
        <v>138</v>
      </c>
      <c r="AC8" s="644"/>
      <c r="AD8" s="645"/>
      <c r="AE8" s="643" t="s">
        <v>93</v>
      </c>
      <c r="AF8" s="644"/>
      <c r="AG8" s="645"/>
      <c r="AH8" s="643" t="s">
        <v>117</v>
      </c>
      <c r="AI8" s="644"/>
      <c r="AJ8" s="645"/>
    </row>
    <row r="9" spans="1:49" ht="28.8" x14ac:dyDescent="0.3">
      <c r="A9" s="107" t="s">
        <v>117</v>
      </c>
      <c r="B9" s="107">
        <v>30</v>
      </c>
      <c r="C9" s="574" t="s">
        <v>112</v>
      </c>
      <c r="D9" s="575" t="s">
        <v>677</v>
      </c>
      <c r="E9" s="576" t="s">
        <v>678</v>
      </c>
      <c r="F9" s="576" t="s">
        <v>679</v>
      </c>
      <c r="G9" s="575" t="s">
        <v>677</v>
      </c>
      <c r="H9" s="576" t="s">
        <v>678</v>
      </c>
      <c r="I9" s="576" t="s">
        <v>679</v>
      </c>
      <c r="J9" s="575" t="s">
        <v>677</v>
      </c>
      <c r="K9" s="576" t="s">
        <v>678</v>
      </c>
      <c r="L9" s="576" t="s">
        <v>679</v>
      </c>
      <c r="M9" s="575" t="s">
        <v>677</v>
      </c>
      <c r="N9" s="576" t="s">
        <v>678</v>
      </c>
      <c r="O9" s="576" t="s">
        <v>679</v>
      </c>
      <c r="P9" s="575" t="s">
        <v>677</v>
      </c>
      <c r="Q9" s="576" t="s">
        <v>678</v>
      </c>
      <c r="R9" s="576" t="s">
        <v>679</v>
      </c>
      <c r="S9" s="575" t="s">
        <v>677</v>
      </c>
      <c r="T9" s="576" t="s">
        <v>678</v>
      </c>
      <c r="U9" s="576" t="s">
        <v>679</v>
      </c>
      <c r="V9" s="575" t="s">
        <v>677</v>
      </c>
      <c r="W9" s="576" t="s">
        <v>678</v>
      </c>
      <c r="X9" s="576" t="s">
        <v>679</v>
      </c>
      <c r="Y9" s="575" t="s">
        <v>677</v>
      </c>
      <c r="Z9" s="576" t="s">
        <v>678</v>
      </c>
      <c r="AA9" s="576" t="s">
        <v>679</v>
      </c>
      <c r="AB9" s="575" t="s">
        <v>677</v>
      </c>
      <c r="AC9" s="576" t="s">
        <v>678</v>
      </c>
      <c r="AD9" s="576" t="s">
        <v>679</v>
      </c>
      <c r="AE9" s="575" t="s">
        <v>677</v>
      </c>
      <c r="AF9" s="576" t="s">
        <v>678</v>
      </c>
      <c r="AG9" s="576" t="s">
        <v>679</v>
      </c>
      <c r="AH9" s="575" t="s">
        <v>677</v>
      </c>
      <c r="AI9" s="576" t="s">
        <v>678</v>
      </c>
      <c r="AJ9" s="577" t="s">
        <v>679</v>
      </c>
    </row>
    <row r="10" spans="1:49" x14ac:dyDescent="0.3">
      <c r="A10" s="107" t="s">
        <v>670</v>
      </c>
      <c r="B10" s="107">
        <v>0</v>
      </c>
      <c r="C10" s="179">
        <v>36404</v>
      </c>
      <c r="D10" s="578">
        <v>1.2</v>
      </c>
      <c r="E10" s="579">
        <f t="shared" ref="E10:E73" si="0">IF(OR(ISBLANK(F10), ISBLANK(D10)), "", F10-D10)</f>
        <v>5.3</v>
      </c>
      <c r="F10" s="579">
        <v>6.5</v>
      </c>
      <c r="G10" s="580">
        <v>6.3</v>
      </c>
      <c r="H10" s="581">
        <f t="shared" ref="H10:H73" si="1">IF(OR(ISBLANK(I10), ISBLANK(G10)), "", I10-G10)</f>
        <v>9.8000000000000007</v>
      </c>
      <c r="I10" s="582">
        <v>16.100000000000001</v>
      </c>
      <c r="J10" s="580">
        <v>8.6</v>
      </c>
      <c r="K10" s="581">
        <f t="shared" ref="K10:K73" si="2">IF(OR(ISBLANK(L10), ISBLANK(J10)), "", L10-J10)</f>
        <v>2.5</v>
      </c>
      <c r="L10" s="582">
        <v>11.1</v>
      </c>
      <c r="M10" s="580">
        <v>67.900000000000006</v>
      </c>
      <c r="N10" s="581">
        <f t="shared" ref="N10:N73" si="3">IF(OR(ISBLANK(O10), ISBLANK(M10)), "", O10-M10)</f>
        <v>33.599999999999994</v>
      </c>
      <c r="O10" s="582">
        <v>101.5</v>
      </c>
      <c r="P10" s="580">
        <v>8.8000000000000007</v>
      </c>
      <c r="Q10" s="581">
        <f t="shared" ref="Q10:Q73" si="4">IF(OR(ISBLANK(R10), ISBLANK(P10)), "", R10-P10)</f>
        <v>0</v>
      </c>
      <c r="R10" s="582">
        <v>8.8000000000000007</v>
      </c>
      <c r="S10" s="580">
        <v>1.9</v>
      </c>
      <c r="T10" s="581">
        <f t="shared" ref="T10:T73" si="5">IF(OR(ISBLANK(U10), ISBLANK(S10)), "", U10-S10)</f>
        <v>2.6</v>
      </c>
      <c r="U10" s="582">
        <v>4.5</v>
      </c>
      <c r="V10" s="580">
        <v>0.5</v>
      </c>
      <c r="W10" s="581">
        <f t="shared" ref="W10:W73" si="6">IF(OR(ISBLANK(X10), ISBLANK(V10)), "", X10-V10)</f>
        <v>4.3</v>
      </c>
      <c r="X10" s="582">
        <v>4.8</v>
      </c>
      <c r="Y10" s="580">
        <v>0</v>
      </c>
      <c r="Z10" s="579">
        <f t="shared" ref="Z10:Z73" si="7">IF(OR(ISBLANK(AA10), ISBLANK(Y10)), "", AA10-Y10)</f>
        <v>9.5</v>
      </c>
      <c r="AA10" s="583">
        <v>9.5</v>
      </c>
      <c r="AB10" s="580">
        <v>10.6</v>
      </c>
      <c r="AC10" s="581">
        <f t="shared" ref="AC10:AC73" si="8">IF(OR(ISBLANK(AD10), ISBLANK(AB10)), "", AD10-AB10)</f>
        <v>1.5999999999999996</v>
      </c>
      <c r="AD10" s="582">
        <v>12.2</v>
      </c>
      <c r="AE10" s="580">
        <v>2.1</v>
      </c>
      <c r="AF10" s="581">
        <f t="shared" ref="AF10:AF73" si="9">IF(OR(ISBLANK(AG10), ISBLANK(AE10)), "", AG10-AE10)</f>
        <v>2.9999999999999996</v>
      </c>
      <c r="AG10" s="582">
        <v>5.0999999999999996</v>
      </c>
      <c r="AH10" s="584">
        <v>107.9</v>
      </c>
      <c r="AI10" s="585">
        <f t="shared" ref="AI10:AI73" si="10">IF(OR(ISBLANK(AJ10), ISBLANK(AH10)), "", AJ10-AH10)</f>
        <v>72.199999999999989</v>
      </c>
      <c r="AJ10" s="586">
        <v>180.1</v>
      </c>
    </row>
    <row r="11" spans="1:49" x14ac:dyDescent="0.3">
      <c r="A11" s="107" t="s">
        <v>672</v>
      </c>
      <c r="B11" s="107">
        <v>3</v>
      </c>
      <c r="C11" s="179">
        <v>36495</v>
      </c>
      <c r="D11" s="587">
        <v>1.6</v>
      </c>
      <c r="E11" s="588">
        <f t="shared" si="0"/>
        <v>6.7000000000000011</v>
      </c>
      <c r="F11" s="588">
        <v>8.3000000000000007</v>
      </c>
      <c r="G11" s="589">
        <v>6.9</v>
      </c>
      <c r="H11" s="590">
        <f t="shared" si="1"/>
        <v>7.7999999999999989</v>
      </c>
      <c r="I11" s="591">
        <v>14.7</v>
      </c>
      <c r="J11" s="589">
        <v>18</v>
      </c>
      <c r="K11" s="590">
        <f t="shared" si="2"/>
        <v>4</v>
      </c>
      <c r="L11" s="591">
        <v>22</v>
      </c>
      <c r="M11" s="589">
        <v>61.3</v>
      </c>
      <c r="N11" s="590">
        <f t="shared" si="3"/>
        <v>30.299999999999997</v>
      </c>
      <c r="O11" s="591">
        <v>91.6</v>
      </c>
      <c r="P11" s="589"/>
      <c r="Q11" s="590" t="str">
        <f t="shared" si="4"/>
        <v/>
      </c>
      <c r="R11" s="591"/>
      <c r="S11" s="589">
        <v>1.9</v>
      </c>
      <c r="T11" s="590">
        <f t="shared" si="5"/>
        <v>2.9</v>
      </c>
      <c r="U11" s="591">
        <v>4.8</v>
      </c>
      <c r="V11" s="589"/>
      <c r="W11" s="590" t="str">
        <f t="shared" si="6"/>
        <v/>
      </c>
      <c r="X11" s="591">
        <v>3.7</v>
      </c>
      <c r="Y11" s="589"/>
      <c r="Z11" s="588" t="str">
        <f t="shared" si="7"/>
        <v/>
      </c>
      <c r="AA11" s="591">
        <v>9.1999999999999993</v>
      </c>
      <c r="AB11" s="589">
        <v>7.4</v>
      </c>
      <c r="AC11" s="590">
        <f t="shared" si="8"/>
        <v>1.7999999999999989</v>
      </c>
      <c r="AD11" s="591">
        <v>9.1999999999999993</v>
      </c>
      <c r="AE11" s="589"/>
      <c r="AF11" s="590" t="str">
        <f t="shared" si="9"/>
        <v/>
      </c>
      <c r="AG11" s="591"/>
      <c r="AH11" s="592">
        <v>108.8</v>
      </c>
      <c r="AI11" s="593">
        <f t="shared" si="10"/>
        <v>68.100000000000009</v>
      </c>
      <c r="AJ11" s="594">
        <v>176.9</v>
      </c>
    </row>
    <row r="12" spans="1:49" x14ac:dyDescent="0.3">
      <c r="A12" s="107" t="s">
        <v>674</v>
      </c>
      <c r="B12" s="107">
        <v>6</v>
      </c>
      <c r="C12" s="179">
        <v>36586</v>
      </c>
      <c r="D12" s="578">
        <v>1.5</v>
      </c>
      <c r="E12" s="579">
        <f t="shared" si="0"/>
        <v>5</v>
      </c>
      <c r="F12" s="579">
        <v>6.5</v>
      </c>
      <c r="G12" s="580">
        <v>4.7</v>
      </c>
      <c r="H12" s="581">
        <f t="shared" si="1"/>
        <v>5.3</v>
      </c>
      <c r="I12" s="582">
        <v>10</v>
      </c>
      <c r="J12" s="580">
        <v>18.600000000000001</v>
      </c>
      <c r="K12" s="581">
        <f t="shared" si="2"/>
        <v>3</v>
      </c>
      <c r="L12" s="582">
        <v>21.6</v>
      </c>
      <c r="M12" s="580">
        <v>47.2</v>
      </c>
      <c r="N12" s="581">
        <f t="shared" si="3"/>
        <v>24.700000000000003</v>
      </c>
      <c r="O12" s="582">
        <v>71.900000000000006</v>
      </c>
      <c r="P12" s="580">
        <v>5</v>
      </c>
      <c r="Q12" s="581">
        <f t="shared" si="4"/>
        <v>0</v>
      </c>
      <c r="R12" s="582">
        <v>5</v>
      </c>
      <c r="S12" s="580">
        <v>2.1</v>
      </c>
      <c r="T12" s="581">
        <f t="shared" si="5"/>
        <v>2.4999999999999996</v>
      </c>
      <c r="U12" s="582">
        <v>4.5999999999999996</v>
      </c>
      <c r="V12" s="580"/>
      <c r="W12" s="581" t="str">
        <f t="shared" si="6"/>
        <v/>
      </c>
      <c r="X12" s="582"/>
      <c r="Y12" s="580"/>
      <c r="Z12" s="579" t="str">
        <f t="shared" si="7"/>
        <v/>
      </c>
      <c r="AA12" s="582">
        <v>7.9</v>
      </c>
      <c r="AB12" s="580">
        <v>2.8</v>
      </c>
      <c r="AC12" s="581">
        <f t="shared" si="8"/>
        <v>0.70000000000000018</v>
      </c>
      <c r="AD12" s="582">
        <v>3.5</v>
      </c>
      <c r="AE12" s="580">
        <v>2.8</v>
      </c>
      <c r="AF12" s="581" t="str">
        <f t="shared" si="9"/>
        <v/>
      </c>
      <c r="AG12" s="582"/>
      <c r="AH12" s="584">
        <v>85</v>
      </c>
      <c r="AI12" s="585">
        <f t="shared" si="10"/>
        <v>51.699999999999989</v>
      </c>
      <c r="AJ12" s="586">
        <v>136.69999999999999</v>
      </c>
    </row>
    <row r="13" spans="1:49" x14ac:dyDescent="0.3">
      <c r="A13" s="107" t="s">
        <v>87</v>
      </c>
      <c r="B13" s="107">
        <v>9</v>
      </c>
      <c r="C13" s="179">
        <v>36678</v>
      </c>
      <c r="D13" s="587">
        <v>0.7</v>
      </c>
      <c r="E13" s="588">
        <f t="shared" si="0"/>
        <v>6.3</v>
      </c>
      <c r="F13" s="588">
        <v>7</v>
      </c>
      <c r="G13" s="589">
        <v>4.8</v>
      </c>
      <c r="H13" s="590">
        <f t="shared" si="1"/>
        <v>9.8000000000000007</v>
      </c>
      <c r="I13" s="591">
        <v>14.6</v>
      </c>
      <c r="J13" s="589">
        <v>15.5</v>
      </c>
      <c r="K13" s="590">
        <f t="shared" si="2"/>
        <v>2.8999999999999986</v>
      </c>
      <c r="L13" s="591">
        <v>18.399999999999999</v>
      </c>
      <c r="M13" s="589">
        <v>76.599999999999994</v>
      </c>
      <c r="N13" s="590">
        <f t="shared" si="3"/>
        <v>33.200000000000003</v>
      </c>
      <c r="O13" s="591">
        <v>109.8</v>
      </c>
      <c r="P13" s="589"/>
      <c r="Q13" s="590" t="str">
        <f t="shared" si="4"/>
        <v/>
      </c>
      <c r="R13" s="591"/>
      <c r="S13" s="589"/>
      <c r="T13" s="590" t="str">
        <f t="shared" si="5"/>
        <v/>
      </c>
      <c r="U13" s="591">
        <v>7.6</v>
      </c>
      <c r="V13" s="589"/>
      <c r="W13" s="590" t="str">
        <f t="shared" si="6"/>
        <v/>
      </c>
      <c r="X13" s="591"/>
      <c r="Y13" s="589">
        <v>0</v>
      </c>
      <c r="Z13" s="588">
        <f t="shared" si="7"/>
        <v>8.6999999999999993</v>
      </c>
      <c r="AA13" s="591">
        <v>8.6999999999999993</v>
      </c>
      <c r="AB13" s="589">
        <v>4</v>
      </c>
      <c r="AC13" s="590">
        <f t="shared" si="8"/>
        <v>0.90000000000000036</v>
      </c>
      <c r="AD13" s="591">
        <v>4.9000000000000004</v>
      </c>
      <c r="AE13" s="589">
        <v>1.6</v>
      </c>
      <c r="AF13" s="590">
        <f t="shared" si="9"/>
        <v>1.5</v>
      </c>
      <c r="AG13" s="591">
        <v>3.1</v>
      </c>
      <c r="AH13" s="592">
        <v>113.3</v>
      </c>
      <c r="AI13" s="593">
        <f t="shared" si="10"/>
        <v>69.399999999999991</v>
      </c>
      <c r="AJ13" s="594">
        <v>182.7</v>
      </c>
    </row>
    <row r="14" spans="1:49" x14ac:dyDescent="0.3">
      <c r="A14" s="107" t="s">
        <v>88</v>
      </c>
      <c r="B14" s="107">
        <v>12</v>
      </c>
      <c r="C14" s="179">
        <v>36770</v>
      </c>
      <c r="D14" s="578">
        <v>0.4</v>
      </c>
      <c r="E14" s="579">
        <f t="shared" si="0"/>
        <v>6.5</v>
      </c>
      <c r="F14" s="579">
        <v>6.9</v>
      </c>
      <c r="G14" s="580">
        <v>5.5</v>
      </c>
      <c r="H14" s="581">
        <f t="shared" si="1"/>
        <v>9.4</v>
      </c>
      <c r="I14" s="582">
        <v>14.9</v>
      </c>
      <c r="J14" s="580">
        <v>14.3</v>
      </c>
      <c r="K14" s="581">
        <f t="shared" si="2"/>
        <v>2.8000000000000007</v>
      </c>
      <c r="L14" s="582">
        <v>17.100000000000001</v>
      </c>
      <c r="M14" s="580">
        <v>64.400000000000006</v>
      </c>
      <c r="N14" s="581">
        <f t="shared" si="3"/>
        <v>28.099999999999994</v>
      </c>
      <c r="O14" s="582">
        <v>92.5</v>
      </c>
      <c r="P14" s="580">
        <v>7.2</v>
      </c>
      <c r="Q14" s="581">
        <f t="shared" si="4"/>
        <v>0</v>
      </c>
      <c r="R14" s="582">
        <v>7.2</v>
      </c>
      <c r="S14" s="580"/>
      <c r="T14" s="581" t="str">
        <f t="shared" si="5"/>
        <v/>
      </c>
      <c r="U14" s="582">
        <v>4.9000000000000004</v>
      </c>
      <c r="V14" s="580"/>
      <c r="W14" s="581" t="str">
        <f t="shared" si="6"/>
        <v/>
      </c>
      <c r="X14" s="582"/>
      <c r="Y14" s="580"/>
      <c r="Z14" s="579" t="str">
        <f t="shared" si="7"/>
        <v/>
      </c>
      <c r="AA14" s="582">
        <v>9.1999999999999993</v>
      </c>
      <c r="AB14" s="580">
        <v>9.1999999999999993</v>
      </c>
      <c r="AC14" s="581">
        <f t="shared" si="8"/>
        <v>2.1000000000000014</v>
      </c>
      <c r="AD14" s="582">
        <v>11.3</v>
      </c>
      <c r="AE14" s="580">
        <v>1.5</v>
      </c>
      <c r="AF14" s="581" t="str">
        <f t="shared" si="9"/>
        <v/>
      </c>
      <c r="AG14" s="582"/>
      <c r="AH14" s="584">
        <v>104.4</v>
      </c>
      <c r="AI14" s="585">
        <f t="shared" si="10"/>
        <v>65.400000000000006</v>
      </c>
      <c r="AJ14" s="586">
        <v>169.8</v>
      </c>
    </row>
    <row r="15" spans="1:49" x14ac:dyDescent="0.3">
      <c r="A15" s="107" t="s">
        <v>90</v>
      </c>
      <c r="B15" s="107">
        <v>15</v>
      </c>
      <c r="C15" s="179">
        <v>36861</v>
      </c>
      <c r="D15" s="587">
        <v>0.7</v>
      </c>
      <c r="E15" s="588">
        <f t="shared" si="0"/>
        <v>7</v>
      </c>
      <c r="F15" s="588">
        <v>7.7</v>
      </c>
      <c r="G15" s="589">
        <v>6.2</v>
      </c>
      <c r="H15" s="590">
        <f t="shared" si="1"/>
        <v>10.100000000000001</v>
      </c>
      <c r="I15" s="591">
        <v>16.3</v>
      </c>
      <c r="J15" s="589">
        <v>18.5</v>
      </c>
      <c r="K15" s="590">
        <f t="shared" si="2"/>
        <v>5.6000000000000014</v>
      </c>
      <c r="L15" s="591">
        <v>24.1</v>
      </c>
      <c r="M15" s="589">
        <v>71.599999999999994</v>
      </c>
      <c r="N15" s="590">
        <f t="shared" si="3"/>
        <v>25.900000000000006</v>
      </c>
      <c r="O15" s="591">
        <v>97.5</v>
      </c>
      <c r="P15" s="589">
        <v>7.3</v>
      </c>
      <c r="Q15" s="590">
        <f t="shared" si="4"/>
        <v>0.10000000000000053</v>
      </c>
      <c r="R15" s="591">
        <v>7.4</v>
      </c>
      <c r="S15" s="589">
        <v>1.8</v>
      </c>
      <c r="T15" s="590">
        <f t="shared" si="5"/>
        <v>4.3</v>
      </c>
      <c r="U15" s="591">
        <v>6.1</v>
      </c>
      <c r="V15" s="589">
        <v>0</v>
      </c>
      <c r="W15" s="590">
        <f t="shared" si="6"/>
        <v>2.9</v>
      </c>
      <c r="X15" s="591">
        <v>2.9</v>
      </c>
      <c r="Y15" s="589">
        <v>0.1</v>
      </c>
      <c r="Z15" s="588">
        <f t="shared" si="7"/>
        <v>9.2000000000000011</v>
      </c>
      <c r="AA15" s="591">
        <v>9.3000000000000007</v>
      </c>
      <c r="AB15" s="589">
        <v>8.1999999999999993</v>
      </c>
      <c r="AC15" s="590">
        <f t="shared" si="8"/>
        <v>1.5</v>
      </c>
      <c r="AD15" s="591">
        <v>9.6999999999999993</v>
      </c>
      <c r="AE15" s="589">
        <v>3.5</v>
      </c>
      <c r="AF15" s="590">
        <f t="shared" si="9"/>
        <v>2.5</v>
      </c>
      <c r="AG15" s="591">
        <v>6</v>
      </c>
      <c r="AH15" s="592">
        <v>118</v>
      </c>
      <c r="AI15" s="593">
        <f t="shared" si="10"/>
        <v>69.199999999999989</v>
      </c>
      <c r="AJ15" s="594">
        <v>187.2</v>
      </c>
    </row>
    <row r="16" spans="1:49" x14ac:dyDescent="0.3">
      <c r="A16" s="107" t="s">
        <v>648</v>
      </c>
      <c r="B16" s="107">
        <v>18</v>
      </c>
      <c r="C16" s="179">
        <v>36951</v>
      </c>
      <c r="D16" s="578">
        <v>0.6</v>
      </c>
      <c r="E16" s="579">
        <f t="shared" si="0"/>
        <v>5.2</v>
      </c>
      <c r="F16" s="579">
        <v>5.8</v>
      </c>
      <c r="G16" s="580">
        <v>3.7</v>
      </c>
      <c r="H16" s="581">
        <f t="shared" si="1"/>
        <v>9.3999999999999986</v>
      </c>
      <c r="I16" s="582">
        <v>13.1</v>
      </c>
      <c r="J16" s="580">
        <v>12.3</v>
      </c>
      <c r="K16" s="581">
        <f t="shared" si="2"/>
        <v>2.3999999999999986</v>
      </c>
      <c r="L16" s="582">
        <v>14.7</v>
      </c>
      <c r="M16" s="580">
        <v>62.2</v>
      </c>
      <c r="N16" s="581">
        <f t="shared" si="3"/>
        <v>21.099999999999994</v>
      </c>
      <c r="O16" s="582">
        <v>83.3</v>
      </c>
      <c r="P16" s="580">
        <v>3.4</v>
      </c>
      <c r="Q16" s="581">
        <f t="shared" si="4"/>
        <v>0</v>
      </c>
      <c r="R16" s="582">
        <v>3.4</v>
      </c>
      <c r="S16" s="580">
        <v>2</v>
      </c>
      <c r="T16" s="581">
        <f t="shared" si="5"/>
        <v>3.8</v>
      </c>
      <c r="U16" s="582">
        <v>5.8</v>
      </c>
      <c r="V16" s="580">
        <v>0</v>
      </c>
      <c r="W16" s="581">
        <f t="shared" si="6"/>
        <v>1.1000000000000001</v>
      </c>
      <c r="X16" s="582">
        <v>1.1000000000000001</v>
      </c>
      <c r="Y16" s="580"/>
      <c r="Z16" s="579" t="str">
        <f t="shared" si="7"/>
        <v/>
      </c>
      <c r="AA16" s="582">
        <v>7.6</v>
      </c>
      <c r="AB16" s="580"/>
      <c r="AC16" s="581" t="str">
        <f t="shared" si="8"/>
        <v/>
      </c>
      <c r="AD16" s="582">
        <v>4.0999999999999996</v>
      </c>
      <c r="AE16" s="580">
        <v>2.8</v>
      </c>
      <c r="AF16" s="581">
        <f t="shared" si="9"/>
        <v>1.7999999999999998</v>
      </c>
      <c r="AG16" s="582">
        <v>4.5999999999999996</v>
      </c>
      <c r="AH16" s="584">
        <v>90.8</v>
      </c>
      <c r="AI16" s="585">
        <f t="shared" si="10"/>
        <v>52.7</v>
      </c>
      <c r="AJ16" s="586">
        <v>143.5</v>
      </c>
    </row>
    <row r="17" spans="1:36" x14ac:dyDescent="0.3">
      <c r="A17" s="107" t="s">
        <v>179</v>
      </c>
      <c r="B17" s="107">
        <v>21</v>
      </c>
      <c r="C17" s="179">
        <v>37043</v>
      </c>
      <c r="D17" s="587">
        <v>1</v>
      </c>
      <c r="E17" s="588">
        <f t="shared" si="0"/>
        <v>11.3</v>
      </c>
      <c r="F17" s="588">
        <v>12.3</v>
      </c>
      <c r="G17" s="589">
        <v>3.9</v>
      </c>
      <c r="H17" s="590">
        <f t="shared" si="1"/>
        <v>11.6</v>
      </c>
      <c r="I17" s="591">
        <v>15.5</v>
      </c>
      <c r="J17" s="589">
        <v>15.4</v>
      </c>
      <c r="K17" s="590">
        <f t="shared" si="2"/>
        <v>1.4999999999999982</v>
      </c>
      <c r="L17" s="591">
        <v>16.899999999999999</v>
      </c>
      <c r="M17" s="589">
        <v>73.7</v>
      </c>
      <c r="N17" s="590">
        <f t="shared" si="3"/>
        <v>23.099999999999994</v>
      </c>
      <c r="O17" s="591">
        <v>96.8</v>
      </c>
      <c r="P17" s="589">
        <v>5.3</v>
      </c>
      <c r="Q17" s="590">
        <f t="shared" si="4"/>
        <v>0.10000000000000053</v>
      </c>
      <c r="R17" s="591">
        <v>5.4</v>
      </c>
      <c r="S17" s="589">
        <v>2</v>
      </c>
      <c r="T17" s="590">
        <f t="shared" si="5"/>
        <v>4.8</v>
      </c>
      <c r="U17" s="591">
        <v>6.8</v>
      </c>
      <c r="V17" s="589">
        <v>0</v>
      </c>
      <c r="W17" s="590" t="str">
        <f t="shared" si="6"/>
        <v/>
      </c>
      <c r="X17" s="591"/>
      <c r="Y17" s="589"/>
      <c r="Z17" s="588" t="str">
        <f t="shared" si="7"/>
        <v/>
      </c>
      <c r="AA17" s="591">
        <v>15.1</v>
      </c>
      <c r="AB17" s="589">
        <v>5.6</v>
      </c>
      <c r="AC17" s="590">
        <f t="shared" si="8"/>
        <v>1.1000000000000005</v>
      </c>
      <c r="AD17" s="591">
        <v>6.7</v>
      </c>
      <c r="AE17" s="589"/>
      <c r="AF17" s="590" t="str">
        <f t="shared" si="9"/>
        <v/>
      </c>
      <c r="AG17" s="591"/>
      <c r="AH17" s="592">
        <v>110.9</v>
      </c>
      <c r="AI17" s="593">
        <f t="shared" si="10"/>
        <v>71.900000000000006</v>
      </c>
      <c r="AJ17" s="594">
        <v>182.8</v>
      </c>
    </row>
    <row r="18" spans="1:36" x14ac:dyDescent="0.3">
      <c r="A18" s="107" t="s">
        <v>138</v>
      </c>
      <c r="B18" s="107">
        <v>24</v>
      </c>
      <c r="C18" s="179">
        <v>37135</v>
      </c>
      <c r="D18" s="578">
        <v>1.4</v>
      </c>
      <c r="E18" s="579">
        <f t="shared" si="0"/>
        <v>8.6</v>
      </c>
      <c r="F18" s="579">
        <v>10</v>
      </c>
      <c r="G18" s="580">
        <v>3.4</v>
      </c>
      <c r="H18" s="581">
        <f t="shared" si="1"/>
        <v>8</v>
      </c>
      <c r="I18" s="582">
        <v>11.4</v>
      </c>
      <c r="J18" s="580">
        <v>13.3</v>
      </c>
      <c r="K18" s="581">
        <f t="shared" si="2"/>
        <v>1.5999999999999996</v>
      </c>
      <c r="L18" s="582">
        <v>14.9</v>
      </c>
      <c r="M18" s="580">
        <v>64.8</v>
      </c>
      <c r="N18" s="581">
        <f t="shared" si="3"/>
        <v>21.600000000000009</v>
      </c>
      <c r="O18" s="582">
        <v>86.4</v>
      </c>
      <c r="P18" s="580">
        <v>4.4000000000000004</v>
      </c>
      <c r="Q18" s="581">
        <f t="shared" si="4"/>
        <v>0</v>
      </c>
      <c r="R18" s="582">
        <v>4.4000000000000004</v>
      </c>
      <c r="S18" s="580">
        <v>2</v>
      </c>
      <c r="T18" s="581">
        <f t="shared" si="5"/>
        <v>5.8</v>
      </c>
      <c r="U18" s="582">
        <v>7.8</v>
      </c>
      <c r="V18" s="580">
        <v>0</v>
      </c>
      <c r="W18" s="581">
        <f t="shared" si="6"/>
        <v>3</v>
      </c>
      <c r="X18" s="582">
        <v>3</v>
      </c>
      <c r="Y18" s="580"/>
      <c r="Z18" s="579" t="str">
        <f t="shared" si="7"/>
        <v/>
      </c>
      <c r="AA18" s="582">
        <v>11.9</v>
      </c>
      <c r="AB18" s="580"/>
      <c r="AC18" s="581" t="str">
        <f t="shared" si="8"/>
        <v/>
      </c>
      <c r="AD18" s="582">
        <v>9.4</v>
      </c>
      <c r="AE18" s="580">
        <v>5.9</v>
      </c>
      <c r="AF18" s="581">
        <f t="shared" si="9"/>
        <v>2.2999999999999989</v>
      </c>
      <c r="AG18" s="582">
        <v>8.1999999999999993</v>
      </c>
      <c r="AH18" s="584">
        <v>103.3</v>
      </c>
      <c r="AI18" s="585">
        <f t="shared" si="10"/>
        <v>64.100000000000009</v>
      </c>
      <c r="AJ18" s="586">
        <v>167.4</v>
      </c>
    </row>
    <row r="19" spans="1:36" x14ac:dyDescent="0.3">
      <c r="A19" s="107" t="s">
        <v>93</v>
      </c>
      <c r="B19" s="107">
        <v>27</v>
      </c>
      <c r="C19" s="179">
        <v>37226</v>
      </c>
      <c r="D19" s="587">
        <v>1.4</v>
      </c>
      <c r="E19" s="588">
        <f t="shared" si="0"/>
        <v>8.9</v>
      </c>
      <c r="F19" s="588">
        <v>10.3</v>
      </c>
      <c r="G19" s="589">
        <v>2.6</v>
      </c>
      <c r="H19" s="590">
        <f t="shared" si="1"/>
        <v>6.7000000000000011</v>
      </c>
      <c r="I19" s="591">
        <v>9.3000000000000007</v>
      </c>
      <c r="J19" s="589">
        <v>14.7</v>
      </c>
      <c r="K19" s="590">
        <f t="shared" si="2"/>
        <v>2</v>
      </c>
      <c r="L19" s="591">
        <v>16.7</v>
      </c>
      <c r="M19" s="589">
        <v>60.4</v>
      </c>
      <c r="N19" s="590">
        <f t="shared" si="3"/>
        <v>23.800000000000004</v>
      </c>
      <c r="O19" s="591">
        <v>84.2</v>
      </c>
      <c r="P19" s="589">
        <v>6.9</v>
      </c>
      <c r="Q19" s="590">
        <f t="shared" si="4"/>
        <v>0</v>
      </c>
      <c r="R19" s="591">
        <v>6.9</v>
      </c>
      <c r="S19" s="589"/>
      <c r="T19" s="590" t="str">
        <f t="shared" si="5"/>
        <v/>
      </c>
      <c r="U19" s="591">
        <v>8.6999999999999993</v>
      </c>
      <c r="V19" s="589">
        <v>0</v>
      </c>
      <c r="W19" s="590">
        <f t="shared" si="6"/>
        <v>2.1</v>
      </c>
      <c r="X19" s="591">
        <v>2.1</v>
      </c>
      <c r="Y19" s="589"/>
      <c r="Z19" s="588" t="str">
        <f t="shared" si="7"/>
        <v/>
      </c>
      <c r="AA19" s="591">
        <v>14.4</v>
      </c>
      <c r="AB19" s="589">
        <v>9.8000000000000007</v>
      </c>
      <c r="AC19" s="590">
        <f t="shared" si="8"/>
        <v>0.89999999999999858</v>
      </c>
      <c r="AD19" s="591">
        <v>10.7</v>
      </c>
      <c r="AE19" s="589">
        <v>6</v>
      </c>
      <c r="AF19" s="590">
        <f t="shared" si="9"/>
        <v>1.2999999999999998</v>
      </c>
      <c r="AG19" s="591">
        <v>7.3</v>
      </c>
      <c r="AH19" s="592">
        <v>103.5</v>
      </c>
      <c r="AI19" s="593">
        <f t="shared" si="10"/>
        <v>67.199999999999989</v>
      </c>
      <c r="AJ19" s="594">
        <v>170.7</v>
      </c>
    </row>
    <row r="20" spans="1:36" x14ac:dyDescent="0.3">
      <c r="C20" s="179">
        <v>37316</v>
      </c>
      <c r="D20" s="578">
        <v>0.6</v>
      </c>
      <c r="E20" s="579">
        <f t="shared" si="0"/>
        <v>7.5</v>
      </c>
      <c r="F20" s="579">
        <v>8.1</v>
      </c>
      <c r="G20" s="580">
        <v>2.1</v>
      </c>
      <c r="H20" s="581">
        <f t="shared" si="1"/>
        <v>4.5999999999999996</v>
      </c>
      <c r="I20" s="582">
        <v>6.7</v>
      </c>
      <c r="J20" s="580">
        <v>8.5</v>
      </c>
      <c r="K20" s="581">
        <f t="shared" si="2"/>
        <v>1.3000000000000007</v>
      </c>
      <c r="L20" s="582">
        <v>9.8000000000000007</v>
      </c>
      <c r="M20" s="580">
        <v>53.5</v>
      </c>
      <c r="N20" s="581">
        <f t="shared" si="3"/>
        <v>20.400000000000006</v>
      </c>
      <c r="O20" s="582">
        <v>73.900000000000006</v>
      </c>
      <c r="P20" s="580">
        <v>7.4</v>
      </c>
      <c r="Q20" s="581">
        <f t="shared" si="4"/>
        <v>0</v>
      </c>
      <c r="R20" s="582">
        <v>7.4</v>
      </c>
      <c r="S20" s="580">
        <v>2.4</v>
      </c>
      <c r="T20" s="581">
        <f t="shared" si="5"/>
        <v>4.5999999999999996</v>
      </c>
      <c r="U20" s="582">
        <v>7</v>
      </c>
      <c r="V20" s="580">
        <v>0</v>
      </c>
      <c r="W20" s="581">
        <f t="shared" si="6"/>
        <v>0.9</v>
      </c>
      <c r="X20" s="582">
        <v>0.9</v>
      </c>
      <c r="Y20" s="580">
        <v>0</v>
      </c>
      <c r="Z20" s="579">
        <f t="shared" si="7"/>
        <v>10.199999999999999</v>
      </c>
      <c r="AA20" s="582">
        <v>10.199999999999999</v>
      </c>
      <c r="AB20" s="580">
        <v>4.3</v>
      </c>
      <c r="AC20" s="581">
        <f t="shared" si="8"/>
        <v>1.4000000000000004</v>
      </c>
      <c r="AD20" s="582">
        <v>5.7</v>
      </c>
      <c r="AE20" s="580">
        <v>3.7</v>
      </c>
      <c r="AF20" s="581">
        <f t="shared" si="9"/>
        <v>0.89999999999999947</v>
      </c>
      <c r="AG20" s="582">
        <v>4.5999999999999996</v>
      </c>
      <c r="AH20" s="584">
        <v>82.5</v>
      </c>
      <c r="AI20" s="585">
        <f t="shared" si="10"/>
        <v>51.699999999999989</v>
      </c>
      <c r="AJ20" s="586">
        <v>134.19999999999999</v>
      </c>
    </row>
    <row r="21" spans="1:36" x14ac:dyDescent="0.3">
      <c r="C21" s="179">
        <v>37408</v>
      </c>
      <c r="D21" s="587">
        <v>1.1000000000000001</v>
      </c>
      <c r="E21" s="588">
        <f t="shared" si="0"/>
        <v>12</v>
      </c>
      <c r="F21" s="588">
        <v>13.1</v>
      </c>
      <c r="G21" s="589">
        <v>2.2999999999999998</v>
      </c>
      <c r="H21" s="590">
        <f t="shared" si="1"/>
        <v>8</v>
      </c>
      <c r="I21" s="591">
        <v>10.3</v>
      </c>
      <c r="J21" s="589">
        <v>10.6</v>
      </c>
      <c r="K21" s="590">
        <f t="shared" si="2"/>
        <v>1.7000000000000011</v>
      </c>
      <c r="L21" s="591">
        <v>12.3</v>
      </c>
      <c r="M21" s="589">
        <v>59.4</v>
      </c>
      <c r="N21" s="590">
        <f t="shared" si="3"/>
        <v>27.4</v>
      </c>
      <c r="O21" s="591">
        <v>86.8</v>
      </c>
      <c r="P21" s="589">
        <v>6.5</v>
      </c>
      <c r="Q21" s="590">
        <f t="shared" si="4"/>
        <v>0</v>
      </c>
      <c r="R21" s="591">
        <v>6.5</v>
      </c>
      <c r="S21" s="589">
        <v>2.2999999999999998</v>
      </c>
      <c r="T21" s="590">
        <f t="shared" si="5"/>
        <v>7.3999999999999995</v>
      </c>
      <c r="U21" s="591">
        <v>9.6999999999999993</v>
      </c>
      <c r="V21" s="589"/>
      <c r="W21" s="590" t="str">
        <f t="shared" si="6"/>
        <v/>
      </c>
      <c r="X21" s="591">
        <v>2.7</v>
      </c>
      <c r="Y21" s="589"/>
      <c r="Z21" s="588" t="str">
        <f t="shared" si="7"/>
        <v/>
      </c>
      <c r="AA21" s="591">
        <v>13.9</v>
      </c>
      <c r="AB21" s="589">
        <v>7.1</v>
      </c>
      <c r="AC21" s="590">
        <f t="shared" si="8"/>
        <v>2.5</v>
      </c>
      <c r="AD21" s="591">
        <v>9.6</v>
      </c>
      <c r="AE21" s="589">
        <v>1.9</v>
      </c>
      <c r="AF21" s="590">
        <f t="shared" si="9"/>
        <v>1.5</v>
      </c>
      <c r="AG21" s="591">
        <v>3.4</v>
      </c>
      <c r="AH21" s="592">
        <v>91.8</v>
      </c>
      <c r="AI21" s="593">
        <f t="shared" si="10"/>
        <v>76.500000000000014</v>
      </c>
      <c r="AJ21" s="594">
        <v>168.3</v>
      </c>
    </row>
    <row r="22" spans="1:36" x14ac:dyDescent="0.3">
      <c r="C22" s="179">
        <v>37500</v>
      </c>
      <c r="D22" s="578">
        <v>0.6</v>
      </c>
      <c r="E22" s="579">
        <f t="shared" si="0"/>
        <v>10.5</v>
      </c>
      <c r="F22" s="579">
        <v>11.1</v>
      </c>
      <c r="G22" s="580">
        <v>2.9</v>
      </c>
      <c r="H22" s="581">
        <f t="shared" si="1"/>
        <v>5.9</v>
      </c>
      <c r="I22" s="582">
        <v>8.8000000000000007</v>
      </c>
      <c r="J22" s="580">
        <v>12.5</v>
      </c>
      <c r="K22" s="581">
        <f t="shared" si="2"/>
        <v>2.1999999999999993</v>
      </c>
      <c r="L22" s="582">
        <v>14.7</v>
      </c>
      <c r="M22" s="580">
        <v>70.099999999999994</v>
      </c>
      <c r="N22" s="581">
        <f t="shared" si="3"/>
        <v>25.100000000000009</v>
      </c>
      <c r="O22" s="582">
        <v>95.2</v>
      </c>
      <c r="P22" s="580"/>
      <c r="Q22" s="581" t="str">
        <f t="shared" si="4"/>
        <v/>
      </c>
      <c r="R22" s="582">
        <v>9</v>
      </c>
      <c r="S22" s="580">
        <v>1.9</v>
      </c>
      <c r="T22" s="581">
        <f t="shared" si="5"/>
        <v>6.4</v>
      </c>
      <c r="U22" s="582">
        <v>8.3000000000000007</v>
      </c>
      <c r="V22" s="580"/>
      <c r="W22" s="581" t="str">
        <f t="shared" si="6"/>
        <v/>
      </c>
      <c r="X22" s="582">
        <v>2.5</v>
      </c>
      <c r="Y22" s="580"/>
      <c r="Z22" s="579" t="str">
        <f t="shared" si="7"/>
        <v/>
      </c>
      <c r="AA22" s="582">
        <v>16</v>
      </c>
      <c r="AB22" s="580">
        <v>7.3</v>
      </c>
      <c r="AC22" s="581">
        <f t="shared" si="8"/>
        <v>3.1000000000000005</v>
      </c>
      <c r="AD22" s="582">
        <v>10.4</v>
      </c>
      <c r="AE22" s="580">
        <v>4.2</v>
      </c>
      <c r="AF22" s="581">
        <f t="shared" si="9"/>
        <v>2.8</v>
      </c>
      <c r="AG22" s="582">
        <v>7</v>
      </c>
      <c r="AH22" s="584">
        <v>110.1</v>
      </c>
      <c r="AI22" s="585">
        <f t="shared" si="10"/>
        <v>72.800000000000011</v>
      </c>
      <c r="AJ22" s="586">
        <v>182.9</v>
      </c>
    </row>
    <row r="23" spans="1:36" x14ac:dyDescent="0.3">
      <c r="C23" s="179">
        <v>37591</v>
      </c>
      <c r="D23" s="587">
        <v>1.1000000000000001</v>
      </c>
      <c r="E23" s="588">
        <f t="shared" si="0"/>
        <v>9</v>
      </c>
      <c r="F23" s="588">
        <v>10.1</v>
      </c>
      <c r="G23" s="589">
        <v>4.4000000000000004</v>
      </c>
      <c r="H23" s="590">
        <f t="shared" si="1"/>
        <v>5.9</v>
      </c>
      <c r="I23" s="591">
        <v>10.3</v>
      </c>
      <c r="J23" s="589">
        <v>13.8</v>
      </c>
      <c r="K23" s="590">
        <f t="shared" si="2"/>
        <v>4.0999999999999979</v>
      </c>
      <c r="L23" s="591">
        <v>17.899999999999999</v>
      </c>
      <c r="M23" s="589">
        <v>69.8</v>
      </c>
      <c r="N23" s="590">
        <f t="shared" si="3"/>
        <v>29.5</v>
      </c>
      <c r="O23" s="591">
        <v>99.3</v>
      </c>
      <c r="P23" s="589"/>
      <c r="Q23" s="590" t="str">
        <f t="shared" si="4"/>
        <v/>
      </c>
      <c r="R23" s="591">
        <v>14.1</v>
      </c>
      <c r="S23" s="589">
        <v>1.8</v>
      </c>
      <c r="T23" s="590">
        <f t="shared" si="5"/>
        <v>3.9000000000000004</v>
      </c>
      <c r="U23" s="591">
        <v>5.7</v>
      </c>
      <c r="V23" s="589"/>
      <c r="W23" s="590" t="str">
        <f t="shared" si="6"/>
        <v/>
      </c>
      <c r="X23" s="591">
        <v>2</v>
      </c>
      <c r="Y23" s="589"/>
      <c r="Z23" s="588" t="str">
        <f t="shared" si="7"/>
        <v/>
      </c>
      <c r="AA23" s="591">
        <v>21.1</v>
      </c>
      <c r="AB23" s="589">
        <v>3.9</v>
      </c>
      <c r="AC23" s="590">
        <f t="shared" si="8"/>
        <v>3.0000000000000004</v>
      </c>
      <c r="AD23" s="591">
        <v>6.9</v>
      </c>
      <c r="AE23" s="589">
        <v>2.6</v>
      </c>
      <c r="AF23" s="590">
        <f t="shared" si="9"/>
        <v>2.8000000000000003</v>
      </c>
      <c r="AG23" s="591">
        <v>5.4</v>
      </c>
      <c r="AH23" s="592">
        <v>111.1</v>
      </c>
      <c r="AI23" s="593">
        <f t="shared" si="10"/>
        <v>81.700000000000017</v>
      </c>
      <c r="AJ23" s="594">
        <v>192.8</v>
      </c>
    </row>
    <row r="24" spans="1:36" x14ac:dyDescent="0.3">
      <c r="C24" s="179">
        <v>37681</v>
      </c>
      <c r="D24" s="578">
        <v>1</v>
      </c>
      <c r="E24" s="579">
        <f t="shared" si="0"/>
        <v>7.6</v>
      </c>
      <c r="F24" s="579">
        <v>8.6</v>
      </c>
      <c r="G24" s="580">
        <v>2.2000000000000002</v>
      </c>
      <c r="H24" s="581">
        <f t="shared" si="1"/>
        <v>4.5</v>
      </c>
      <c r="I24" s="582">
        <v>6.7</v>
      </c>
      <c r="J24" s="580">
        <v>10.1</v>
      </c>
      <c r="K24" s="581">
        <f t="shared" si="2"/>
        <v>2.2000000000000011</v>
      </c>
      <c r="L24" s="582">
        <v>12.3</v>
      </c>
      <c r="M24" s="580">
        <v>58.5</v>
      </c>
      <c r="N24" s="581">
        <f t="shared" si="3"/>
        <v>26.099999999999994</v>
      </c>
      <c r="O24" s="582">
        <v>84.6</v>
      </c>
      <c r="P24" s="580">
        <v>11.2</v>
      </c>
      <c r="Q24" s="581">
        <f t="shared" si="4"/>
        <v>0</v>
      </c>
      <c r="R24" s="582">
        <v>11.2</v>
      </c>
      <c r="S24" s="580">
        <v>1.8</v>
      </c>
      <c r="T24" s="581">
        <f t="shared" si="5"/>
        <v>3.5</v>
      </c>
      <c r="U24" s="582">
        <v>5.3</v>
      </c>
      <c r="V24" s="580"/>
      <c r="W24" s="581" t="str">
        <f t="shared" si="6"/>
        <v/>
      </c>
      <c r="X24" s="582">
        <v>0.7</v>
      </c>
      <c r="Y24" s="580"/>
      <c r="Z24" s="579" t="str">
        <f t="shared" si="7"/>
        <v/>
      </c>
      <c r="AA24" s="582">
        <v>14</v>
      </c>
      <c r="AB24" s="580">
        <v>2.8</v>
      </c>
      <c r="AC24" s="581">
        <f t="shared" si="8"/>
        <v>1.7999999999999998</v>
      </c>
      <c r="AD24" s="582">
        <v>4.5999999999999996</v>
      </c>
      <c r="AE24" s="580">
        <v>3</v>
      </c>
      <c r="AF24" s="581">
        <f t="shared" si="9"/>
        <v>2.5</v>
      </c>
      <c r="AG24" s="582">
        <v>5.5</v>
      </c>
      <c r="AH24" s="584">
        <v>90.8</v>
      </c>
      <c r="AI24" s="585">
        <f t="shared" si="10"/>
        <v>62.600000000000009</v>
      </c>
      <c r="AJ24" s="586">
        <v>153.4</v>
      </c>
    </row>
    <row r="25" spans="1:36" x14ac:dyDescent="0.3">
      <c r="C25" s="179">
        <v>37773</v>
      </c>
      <c r="D25" s="587"/>
      <c r="E25" s="588" t="str">
        <f t="shared" si="0"/>
        <v/>
      </c>
      <c r="F25" s="588">
        <v>10</v>
      </c>
      <c r="G25" s="589"/>
      <c r="H25" s="590" t="str">
        <f t="shared" si="1"/>
        <v/>
      </c>
      <c r="I25" s="591">
        <v>10.9</v>
      </c>
      <c r="J25" s="589">
        <v>17.7</v>
      </c>
      <c r="K25" s="590">
        <f t="shared" si="2"/>
        <v>3.3000000000000007</v>
      </c>
      <c r="L25" s="591">
        <v>21</v>
      </c>
      <c r="M25" s="589">
        <v>67.2</v>
      </c>
      <c r="N25" s="590">
        <f t="shared" si="3"/>
        <v>32.099999999999994</v>
      </c>
      <c r="O25" s="591">
        <v>99.3</v>
      </c>
      <c r="P25" s="589"/>
      <c r="Q25" s="590" t="str">
        <f t="shared" si="4"/>
        <v/>
      </c>
      <c r="R25" s="591">
        <v>10.199999999999999</v>
      </c>
      <c r="S25" s="589"/>
      <c r="T25" s="590" t="str">
        <f t="shared" si="5"/>
        <v/>
      </c>
      <c r="U25" s="591">
        <v>8</v>
      </c>
      <c r="V25" s="589"/>
      <c r="W25" s="590" t="str">
        <f t="shared" si="6"/>
        <v/>
      </c>
      <c r="X25" s="591">
        <v>1.7</v>
      </c>
      <c r="Y25" s="589"/>
      <c r="Z25" s="588" t="str">
        <f t="shared" si="7"/>
        <v/>
      </c>
      <c r="AA25" s="591">
        <v>26.7</v>
      </c>
      <c r="AB25" s="589">
        <v>3.8</v>
      </c>
      <c r="AC25" s="590">
        <f t="shared" si="8"/>
        <v>4.2</v>
      </c>
      <c r="AD25" s="591">
        <v>8</v>
      </c>
      <c r="AE25" s="589">
        <v>3.1</v>
      </c>
      <c r="AF25" s="590">
        <f t="shared" si="9"/>
        <v>4.8000000000000007</v>
      </c>
      <c r="AG25" s="591">
        <v>7.9</v>
      </c>
      <c r="AH25" s="592">
        <v>111.6</v>
      </c>
      <c r="AI25" s="593">
        <f t="shared" si="10"/>
        <v>92.1</v>
      </c>
      <c r="AJ25" s="594">
        <v>203.7</v>
      </c>
    </row>
    <row r="26" spans="1:36" x14ac:dyDescent="0.3">
      <c r="C26" s="179">
        <v>37865</v>
      </c>
      <c r="D26" s="578">
        <v>0.3</v>
      </c>
      <c r="E26" s="579">
        <f t="shared" si="0"/>
        <v>6.7</v>
      </c>
      <c r="F26" s="579">
        <v>7</v>
      </c>
      <c r="G26" s="580">
        <v>2.6</v>
      </c>
      <c r="H26" s="581">
        <f t="shared" si="1"/>
        <v>3.1999999999999997</v>
      </c>
      <c r="I26" s="582">
        <v>5.8</v>
      </c>
      <c r="J26" s="580">
        <v>12.9</v>
      </c>
      <c r="K26" s="581">
        <f t="shared" si="2"/>
        <v>1.5</v>
      </c>
      <c r="L26" s="582">
        <v>14.4</v>
      </c>
      <c r="M26" s="580">
        <v>68</v>
      </c>
      <c r="N26" s="581">
        <f t="shared" si="3"/>
        <v>28.700000000000003</v>
      </c>
      <c r="O26" s="582">
        <v>96.7</v>
      </c>
      <c r="P26" s="580"/>
      <c r="Q26" s="581" t="str">
        <f t="shared" si="4"/>
        <v/>
      </c>
      <c r="R26" s="582">
        <v>13.1</v>
      </c>
      <c r="S26" s="580">
        <v>3</v>
      </c>
      <c r="T26" s="581">
        <f t="shared" si="5"/>
        <v>3.9000000000000004</v>
      </c>
      <c r="U26" s="582">
        <v>6.9</v>
      </c>
      <c r="V26" s="580">
        <v>0</v>
      </c>
      <c r="W26" s="581">
        <f t="shared" si="6"/>
        <v>3.5</v>
      </c>
      <c r="X26" s="582">
        <v>3.5</v>
      </c>
      <c r="Y26" s="580"/>
      <c r="Z26" s="579" t="str">
        <f t="shared" si="7"/>
        <v/>
      </c>
      <c r="AA26" s="582">
        <v>19.899999999999999</v>
      </c>
      <c r="AB26" s="580">
        <v>4.9000000000000004</v>
      </c>
      <c r="AC26" s="581">
        <f t="shared" si="8"/>
        <v>2.1999999999999993</v>
      </c>
      <c r="AD26" s="582">
        <v>7.1</v>
      </c>
      <c r="AE26" s="580">
        <v>3.6</v>
      </c>
      <c r="AF26" s="581">
        <f t="shared" si="9"/>
        <v>1.8000000000000003</v>
      </c>
      <c r="AG26" s="582">
        <v>5.4</v>
      </c>
      <c r="AH26" s="584">
        <v>108.5</v>
      </c>
      <c r="AI26" s="585">
        <f t="shared" si="10"/>
        <v>71.199999999999989</v>
      </c>
      <c r="AJ26" s="586">
        <v>179.7</v>
      </c>
    </row>
    <row r="27" spans="1:36" x14ac:dyDescent="0.3">
      <c r="C27" s="179">
        <v>37956</v>
      </c>
      <c r="D27" s="587"/>
      <c r="E27" s="588" t="str">
        <f t="shared" si="0"/>
        <v/>
      </c>
      <c r="F27" s="588">
        <v>8.9</v>
      </c>
      <c r="G27" s="589"/>
      <c r="H27" s="590" t="str">
        <f t="shared" si="1"/>
        <v/>
      </c>
      <c r="I27" s="591">
        <v>6.3</v>
      </c>
      <c r="J27" s="589">
        <v>20</v>
      </c>
      <c r="K27" s="590">
        <f t="shared" si="2"/>
        <v>2.8000000000000007</v>
      </c>
      <c r="L27" s="591">
        <v>22.8</v>
      </c>
      <c r="M27" s="589">
        <v>66.400000000000006</v>
      </c>
      <c r="N27" s="590">
        <f t="shared" si="3"/>
        <v>26.699999999999989</v>
      </c>
      <c r="O27" s="591">
        <v>93.1</v>
      </c>
      <c r="P27" s="589"/>
      <c r="Q27" s="590" t="str">
        <f t="shared" si="4"/>
        <v/>
      </c>
      <c r="R27" s="591">
        <v>17.600000000000001</v>
      </c>
      <c r="S27" s="589">
        <v>2.4</v>
      </c>
      <c r="T27" s="590">
        <f t="shared" si="5"/>
        <v>3.6999999999999997</v>
      </c>
      <c r="U27" s="591">
        <v>6.1</v>
      </c>
      <c r="V27" s="589"/>
      <c r="W27" s="590" t="str">
        <f t="shared" si="6"/>
        <v/>
      </c>
      <c r="X27" s="591">
        <v>3</v>
      </c>
      <c r="Y27" s="589"/>
      <c r="Z27" s="588" t="str">
        <f t="shared" si="7"/>
        <v/>
      </c>
      <c r="AA27" s="591">
        <v>24.1</v>
      </c>
      <c r="AB27" s="589">
        <v>5.8</v>
      </c>
      <c r="AC27" s="590">
        <f t="shared" si="8"/>
        <v>2.1000000000000005</v>
      </c>
      <c r="AD27" s="591">
        <v>7.9</v>
      </c>
      <c r="AE27" s="589">
        <v>5.9</v>
      </c>
      <c r="AF27" s="590">
        <f t="shared" si="9"/>
        <v>3.7999999999999989</v>
      </c>
      <c r="AG27" s="591">
        <v>9.6999999999999993</v>
      </c>
      <c r="AH27" s="592">
        <v>122</v>
      </c>
      <c r="AI27" s="593">
        <f t="shared" si="10"/>
        <v>77.5</v>
      </c>
      <c r="AJ27" s="594">
        <v>199.5</v>
      </c>
    </row>
    <row r="28" spans="1:36" x14ac:dyDescent="0.3">
      <c r="C28" s="179">
        <v>38047</v>
      </c>
      <c r="D28" s="578">
        <v>0.7</v>
      </c>
      <c r="E28" s="579">
        <f t="shared" si="0"/>
        <v>7.4999999999999991</v>
      </c>
      <c r="F28" s="579">
        <v>8.1999999999999993</v>
      </c>
      <c r="G28" s="580">
        <v>0.7</v>
      </c>
      <c r="H28" s="581">
        <f t="shared" si="1"/>
        <v>5.5</v>
      </c>
      <c r="I28" s="582">
        <v>6.2</v>
      </c>
      <c r="J28" s="580">
        <v>14.3</v>
      </c>
      <c r="K28" s="581">
        <f t="shared" si="2"/>
        <v>1.1999999999999993</v>
      </c>
      <c r="L28" s="582">
        <v>15.5</v>
      </c>
      <c r="M28" s="580">
        <v>59.3</v>
      </c>
      <c r="N28" s="581">
        <f t="shared" si="3"/>
        <v>31.900000000000006</v>
      </c>
      <c r="O28" s="582">
        <v>91.2</v>
      </c>
      <c r="P28" s="580"/>
      <c r="Q28" s="581" t="str">
        <f t="shared" si="4"/>
        <v/>
      </c>
      <c r="R28" s="582">
        <v>13.8</v>
      </c>
      <c r="S28" s="580">
        <v>1.6</v>
      </c>
      <c r="T28" s="581">
        <f t="shared" si="5"/>
        <v>2</v>
      </c>
      <c r="U28" s="582">
        <v>3.6</v>
      </c>
      <c r="V28" s="580"/>
      <c r="W28" s="581" t="str">
        <f t="shared" si="6"/>
        <v/>
      </c>
      <c r="X28" s="582">
        <v>1.3</v>
      </c>
      <c r="Y28" s="580"/>
      <c r="Z28" s="579" t="str">
        <f t="shared" si="7"/>
        <v/>
      </c>
      <c r="AA28" s="582">
        <v>13.7</v>
      </c>
      <c r="AB28" s="580">
        <v>2.7</v>
      </c>
      <c r="AC28" s="581">
        <f t="shared" si="8"/>
        <v>2.2999999999999998</v>
      </c>
      <c r="AD28" s="582">
        <v>5</v>
      </c>
      <c r="AE28" s="580">
        <v>3.2</v>
      </c>
      <c r="AF28" s="581">
        <f t="shared" si="9"/>
        <v>5.6000000000000005</v>
      </c>
      <c r="AG28" s="582">
        <v>8.8000000000000007</v>
      </c>
      <c r="AH28" s="584">
        <v>96.5</v>
      </c>
      <c r="AI28" s="585">
        <f t="shared" si="10"/>
        <v>70.800000000000011</v>
      </c>
      <c r="AJ28" s="586">
        <v>167.3</v>
      </c>
    </row>
    <row r="29" spans="1:36" x14ac:dyDescent="0.3">
      <c r="C29" s="179">
        <v>38139</v>
      </c>
      <c r="D29" s="587">
        <v>1.2</v>
      </c>
      <c r="E29" s="588">
        <f t="shared" si="0"/>
        <v>12.600000000000001</v>
      </c>
      <c r="F29" s="588">
        <v>13.8</v>
      </c>
      <c r="G29" s="589">
        <v>0.6</v>
      </c>
      <c r="H29" s="590">
        <f t="shared" si="1"/>
        <v>10.9</v>
      </c>
      <c r="I29" s="591">
        <v>11.5</v>
      </c>
      <c r="J29" s="589">
        <v>23.4</v>
      </c>
      <c r="K29" s="590">
        <f t="shared" si="2"/>
        <v>8.1000000000000014</v>
      </c>
      <c r="L29" s="591">
        <v>31.5</v>
      </c>
      <c r="M29" s="589">
        <v>83</v>
      </c>
      <c r="N29" s="590">
        <f t="shared" si="3"/>
        <v>33.099999999999994</v>
      </c>
      <c r="O29" s="591">
        <v>116.1</v>
      </c>
      <c r="P29" s="589">
        <v>19.100000000000001</v>
      </c>
      <c r="Q29" s="590">
        <f t="shared" si="4"/>
        <v>9.9999999999997868E-2</v>
      </c>
      <c r="R29" s="591">
        <v>19.2</v>
      </c>
      <c r="S29" s="589">
        <v>3.6</v>
      </c>
      <c r="T29" s="590">
        <f t="shared" si="5"/>
        <v>3.6</v>
      </c>
      <c r="U29" s="591">
        <v>7.2</v>
      </c>
      <c r="V29" s="589"/>
      <c r="W29" s="590" t="str">
        <f t="shared" si="6"/>
        <v/>
      </c>
      <c r="X29" s="591">
        <v>2.8</v>
      </c>
      <c r="Y29" s="589"/>
      <c r="Z29" s="588" t="str">
        <f t="shared" si="7"/>
        <v/>
      </c>
      <c r="AA29" s="591">
        <v>23.8</v>
      </c>
      <c r="AB29" s="589">
        <v>3.5</v>
      </c>
      <c r="AC29" s="590">
        <f t="shared" si="8"/>
        <v>2.4000000000000004</v>
      </c>
      <c r="AD29" s="591">
        <v>5.9</v>
      </c>
      <c r="AE29" s="589">
        <v>4.0999999999999996</v>
      </c>
      <c r="AF29" s="590">
        <f t="shared" si="9"/>
        <v>4.5</v>
      </c>
      <c r="AG29" s="591">
        <v>8.6</v>
      </c>
      <c r="AH29" s="592">
        <v>138.80000000000001</v>
      </c>
      <c r="AI29" s="593">
        <f t="shared" si="10"/>
        <v>101.39999999999998</v>
      </c>
      <c r="AJ29" s="594">
        <v>240.2</v>
      </c>
    </row>
    <row r="30" spans="1:36" x14ac:dyDescent="0.3">
      <c r="C30" s="179">
        <v>38231</v>
      </c>
      <c r="D30" s="578"/>
      <c r="E30" s="579" t="str">
        <f t="shared" si="0"/>
        <v/>
      </c>
      <c r="F30" s="579">
        <v>15.5</v>
      </c>
      <c r="G30" s="580"/>
      <c r="H30" s="581" t="str">
        <f t="shared" si="1"/>
        <v/>
      </c>
      <c r="I30" s="582">
        <v>7.8</v>
      </c>
      <c r="J30" s="580">
        <v>28.7</v>
      </c>
      <c r="K30" s="581">
        <f t="shared" si="2"/>
        <v>2.1000000000000014</v>
      </c>
      <c r="L30" s="582">
        <v>30.8</v>
      </c>
      <c r="M30" s="580">
        <v>73.900000000000006</v>
      </c>
      <c r="N30" s="581">
        <f t="shared" si="3"/>
        <v>36</v>
      </c>
      <c r="O30" s="582">
        <v>109.9</v>
      </c>
      <c r="P30" s="580">
        <v>29.6</v>
      </c>
      <c r="Q30" s="581">
        <f t="shared" si="4"/>
        <v>0.19999999999999929</v>
      </c>
      <c r="R30" s="582">
        <v>29.8</v>
      </c>
      <c r="S30" s="580"/>
      <c r="T30" s="581" t="str">
        <f t="shared" si="5"/>
        <v/>
      </c>
      <c r="U30" s="582">
        <v>8</v>
      </c>
      <c r="V30" s="580"/>
      <c r="W30" s="581" t="str">
        <f t="shared" si="6"/>
        <v/>
      </c>
      <c r="X30" s="582">
        <v>6.1</v>
      </c>
      <c r="Y30" s="580">
        <v>0.4</v>
      </c>
      <c r="Z30" s="579">
        <f t="shared" si="7"/>
        <v>27</v>
      </c>
      <c r="AA30" s="582">
        <v>27.4</v>
      </c>
      <c r="AB30" s="580">
        <v>4.5999999999999996</v>
      </c>
      <c r="AC30" s="581">
        <f t="shared" si="8"/>
        <v>2.3000000000000007</v>
      </c>
      <c r="AD30" s="582">
        <v>6.9</v>
      </c>
      <c r="AE30" s="580">
        <v>4.9000000000000004</v>
      </c>
      <c r="AF30" s="581">
        <f t="shared" si="9"/>
        <v>3.9000000000000004</v>
      </c>
      <c r="AG30" s="582">
        <v>8.8000000000000007</v>
      </c>
      <c r="AH30" s="584">
        <v>147.9</v>
      </c>
      <c r="AI30" s="585">
        <f t="shared" si="10"/>
        <v>103.19999999999999</v>
      </c>
      <c r="AJ30" s="586">
        <v>251.1</v>
      </c>
    </row>
    <row r="31" spans="1:36" x14ac:dyDescent="0.3">
      <c r="C31" s="179">
        <v>38322</v>
      </c>
      <c r="D31" s="587">
        <v>1.9</v>
      </c>
      <c r="E31" s="588">
        <f t="shared" si="0"/>
        <v>16.400000000000002</v>
      </c>
      <c r="F31" s="588">
        <v>18.3</v>
      </c>
      <c r="G31" s="589">
        <v>0.6</v>
      </c>
      <c r="H31" s="590">
        <f t="shared" si="1"/>
        <v>7.3000000000000007</v>
      </c>
      <c r="I31" s="591">
        <v>7.9</v>
      </c>
      <c r="J31" s="589">
        <v>38</v>
      </c>
      <c r="K31" s="590">
        <f t="shared" si="2"/>
        <v>2.3999999999999986</v>
      </c>
      <c r="L31" s="591">
        <v>40.4</v>
      </c>
      <c r="M31" s="589">
        <v>67.5</v>
      </c>
      <c r="N31" s="590">
        <f t="shared" si="3"/>
        <v>29.299999999999997</v>
      </c>
      <c r="O31" s="591">
        <v>96.8</v>
      </c>
      <c r="P31" s="589">
        <v>35</v>
      </c>
      <c r="Q31" s="590">
        <f t="shared" si="4"/>
        <v>0.10000000000000142</v>
      </c>
      <c r="R31" s="591">
        <v>35.1</v>
      </c>
      <c r="S31" s="589"/>
      <c r="T31" s="590" t="str">
        <f t="shared" si="5"/>
        <v/>
      </c>
      <c r="U31" s="591">
        <v>5.9</v>
      </c>
      <c r="V31" s="589">
        <v>0.1</v>
      </c>
      <c r="W31" s="590">
        <f t="shared" si="6"/>
        <v>4.5</v>
      </c>
      <c r="X31" s="591">
        <v>4.5999999999999996</v>
      </c>
      <c r="Y31" s="589"/>
      <c r="Z31" s="588" t="str">
        <f t="shared" si="7"/>
        <v/>
      </c>
      <c r="AA31" s="591">
        <v>32</v>
      </c>
      <c r="AB31" s="589">
        <v>5.3</v>
      </c>
      <c r="AC31" s="590">
        <f t="shared" si="8"/>
        <v>2.2999999999999998</v>
      </c>
      <c r="AD31" s="591">
        <v>7.6</v>
      </c>
      <c r="AE31" s="589">
        <v>5</v>
      </c>
      <c r="AF31" s="590">
        <f t="shared" si="9"/>
        <v>7.1999999999999993</v>
      </c>
      <c r="AG31" s="591">
        <v>12.2</v>
      </c>
      <c r="AH31" s="592">
        <v>156.69999999999999</v>
      </c>
      <c r="AI31" s="593">
        <f t="shared" si="10"/>
        <v>104.10000000000002</v>
      </c>
      <c r="AJ31" s="594">
        <v>260.8</v>
      </c>
    </row>
    <row r="32" spans="1:36" x14ac:dyDescent="0.3">
      <c r="C32" s="179">
        <v>38412</v>
      </c>
      <c r="D32" s="578"/>
      <c r="E32" s="579" t="str">
        <f t="shared" si="0"/>
        <v/>
      </c>
      <c r="F32" s="579">
        <v>15.2</v>
      </c>
      <c r="G32" s="580"/>
      <c r="H32" s="581" t="str">
        <f t="shared" si="1"/>
        <v/>
      </c>
      <c r="I32" s="582">
        <v>7</v>
      </c>
      <c r="J32" s="580">
        <v>40.9</v>
      </c>
      <c r="K32" s="581">
        <f t="shared" si="2"/>
        <v>2.3999999999999986</v>
      </c>
      <c r="L32" s="582">
        <v>43.3</v>
      </c>
      <c r="M32" s="580">
        <v>54.1</v>
      </c>
      <c r="N32" s="581">
        <f t="shared" si="3"/>
        <v>27.800000000000004</v>
      </c>
      <c r="O32" s="582">
        <v>81.900000000000006</v>
      </c>
      <c r="P32" s="580">
        <v>27.3</v>
      </c>
      <c r="Q32" s="581">
        <f t="shared" si="4"/>
        <v>0</v>
      </c>
      <c r="R32" s="582">
        <v>27.3</v>
      </c>
      <c r="S32" s="580">
        <v>3.6</v>
      </c>
      <c r="T32" s="581">
        <f t="shared" si="5"/>
        <v>3.1</v>
      </c>
      <c r="U32" s="582">
        <v>6.7</v>
      </c>
      <c r="V32" s="580"/>
      <c r="W32" s="581" t="str">
        <f t="shared" si="6"/>
        <v/>
      </c>
      <c r="X32" s="582">
        <v>3.2</v>
      </c>
      <c r="Y32" s="580"/>
      <c r="Z32" s="579" t="str">
        <f t="shared" si="7"/>
        <v/>
      </c>
      <c r="AA32" s="582">
        <v>29.8</v>
      </c>
      <c r="AB32" s="580">
        <v>2.2000000000000002</v>
      </c>
      <c r="AC32" s="581">
        <f t="shared" si="8"/>
        <v>1.4</v>
      </c>
      <c r="AD32" s="582">
        <v>3.6</v>
      </c>
      <c r="AE32" s="580">
        <v>3.3</v>
      </c>
      <c r="AF32" s="581">
        <f t="shared" si="9"/>
        <v>4.5</v>
      </c>
      <c r="AG32" s="582">
        <v>7.8</v>
      </c>
      <c r="AH32" s="584">
        <v>134.4</v>
      </c>
      <c r="AI32" s="585">
        <f t="shared" si="10"/>
        <v>91.4</v>
      </c>
      <c r="AJ32" s="586">
        <v>225.8</v>
      </c>
    </row>
    <row r="33" spans="3:36" x14ac:dyDescent="0.3">
      <c r="C33" s="179">
        <v>38504</v>
      </c>
      <c r="D33" s="587">
        <v>1.4</v>
      </c>
      <c r="E33" s="588">
        <f t="shared" si="0"/>
        <v>21</v>
      </c>
      <c r="F33" s="588">
        <v>22.4</v>
      </c>
      <c r="G33" s="589">
        <v>1.8</v>
      </c>
      <c r="H33" s="590">
        <f t="shared" si="1"/>
        <v>6.8</v>
      </c>
      <c r="I33" s="591">
        <v>8.6</v>
      </c>
      <c r="J33" s="589">
        <v>41.1</v>
      </c>
      <c r="K33" s="590">
        <f t="shared" si="2"/>
        <v>3</v>
      </c>
      <c r="L33" s="591">
        <v>44.1</v>
      </c>
      <c r="M33" s="589">
        <v>64.099999999999994</v>
      </c>
      <c r="N33" s="590">
        <f t="shared" si="3"/>
        <v>39</v>
      </c>
      <c r="O33" s="591">
        <v>103.1</v>
      </c>
      <c r="P33" s="589">
        <v>45.1</v>
      </c>
      <c r="Q33" s="590">
        <f t="shared" si="4"/>
        <v>0.60000000000000142</v>
      </c>
      <c r="R33" s="591">
        <v>45.7</v>
      </c>
      <c r="S33" s="589">
        <v>3.6</v>
      </c>
      <c r="T33" s="590">
        <f t="shared" si="5"/>
        <v>3.4</v>
      </c>
      <c r="U33" s="591">
        <v>7</v>
      </c>
      <c r="V33" s="589">
        <v>0.1</v>
      </c>
      <c r="W33" s="590">
        <f t="shared" si="6"/>
        <v>6.7</v>
      </c>
      <c r="X33" s="591">
        <v>6.8</v>
      </c>
      <c r="Y33" s="589">
        <v>0.3</v>
      </c>
      <c r="Z33" s="588">
        <f t="shared" si="7"/>
        <v>37.300000000000004</v>
      </c>
      <c r="AA33" s="591">
        <v>37.6</v>
      </c>
      <c r="AB33" s="589">
        <v>3.8</v>
      </c>
      <c r="AC33" s="590">
        <f t="shared" si="8"/>
        <v>1.7999999999999998</v>
      </c>
      <c r="AD33" s="591">
        <v>5.6</v>
      </c>
      <c r="AE33" s="589">
        <v>5.6</v>
      </c>
      <c r="AF33" s="590">
        <f t="shared" si="9"/>
        <v>4.2000000000000011</v>
      </c>
      <c r="AG33" s="591">
        <v>9.8000000000000007</v>
      </c>
      <c r="AH33" s="592">
        <v>167</v>
      </c>
      <c r="AI33" s="593">
        <f t="shared" si="10"/>
        <v>123.69999999999999</v>
      </c>
      <c r="AJ33" s="594">
        <v>290.7</v>
      </c>
    </row>
    <row r="34" spans="3:36" x14ac:dyDescent="0.3">
      <c r="C34" s="179">
        <v>38596</v>
      </c>
      <c r="D34" s="578">
        <v>2.2999999999999998</v>
      </c>
      <c r="E34" s="579">
        <f t="shared" si="0"/>
        <v>29.2</v>
      </c>
      <c r="F34" s="579">
        <v>31.5</v>
      </c>
      <c r="G34" s="580">
        <v>1.7</v>
      </c>
      <c r="H34" s="581">
        <f t="shared" si="1"/>
        <v>11.4</v>
      </c>
      <c r="I34" s="582">
        <v>13.1</v>
      </c>
      <c r="J34" s="580">
        <v>36.5</v>
      </c>
      <c r="K34" s="581">
        <f t="shared" si="2"/>
        <v>3.5</v>
      </c>
      <c r="L34" s="582">
        <v>40</v>
      </c>
      <c r="M34" s="580">
        <v>62</v>
      </c>
      <c r="N34" s="581">
        <f t="shared" si="3"/>
        <v>38</v>
      </c>
      <c r="O34" s="582">
        <v>100</v>
      </c>
      <c r="P34" s="580">
        <v>35.9</v>
      </c>
      <c r="Q34" s="581">
        <f t="shared" si="4"/>
        <v>0.39999999999999858</v>
      </c>
      <c r="R34" s="582">
        <v>36.299999999999997</v>
      </c>
      <c r="S34" s="580">
        <v>3.1</v>
      </c>
      <c r="T34" s="581">
        <f t="shared" si="5"/>
        <v>5</v>
      </c>
      <c r="U34" s="582">
        <v>8.1</v>
      </c>
      <c r="V34" s="580">
        <v>0.2</v>
      </c>
      <c r="W34" s="581">
        <f t="shared" si="6"/>
        <v>11.700000000000001</v>
      </c>
      <c r="X34" s="582">
        <v>11.9</v>
      </c>
      <c r="Y34" s="580">
        <v>0.2</v>
      </c>
      <c r="Z34" s="579">
        <f t="shared" si="7"/>
        <v>32</v>
      </c>
      <c r="AA34" s="582">
        <v>32.200000000000003</v>
      </c>
      <c r="AB34" s="580">
        <v>4</v>
      </c>
      <c r="AC34" s="581">
        <f t="shared" si="8"/>
        <v>2.2999999999999998</v>
      </c>
      <c r="AD34" s="582">
        <v>6.3</v>
      </c>
      <c r="AE34" s="580">
        <v>8.4</v>
      </c>
      <c r="AF34" s="581">
        <f t="shared" si="9"/>
        <v>4.2999999999999989</v>
      </c>
      <c r="AG34" s="582">
        <v>12.7</v>
      </c>
      <c r="AH34" s="584">
        <v>154.4</v>
      </c>
      <c r="AI34" s="585">
        <f t="shared" si="10"/>
        <v>137.6</v>
      </c>
      <c r="AJ34" s="586">
        <v>292</v>
      </c>
    </row>
    <row r="35" spans="3:36" x14ac:dyDescent="0.3">
      <c r="C35" s="179">
        <v>38687</v>
      </c>
      <c r="D35" s="587">
        <v>2.2000000000000002</v>
      </c>
      <c r="E35" s="588">
        <f t="shared" si="0"/>
        <v>34.5</v>
      </c>
      <c r="F35" s="588">
        <v>36.700000000000003</v>
      </c>
      <c r="G35" s="589">
        <v>4.4000000000000004</v>
      </c>
      <c r="H35" s="590">
        <f t="shared" si="1"/>
        <v>13.4</v>
      </c>
      <c r="I35" s="591">
        <v>17.8</v>
      </c>
      <c r="J35" s="589">
        <v>33.700000000000003</v>
      </c>
      <c r="K35" s="590">
        <f t="shared" si="2"/>
        <v>7</v>
      </c>
      <c r="L35" s="591">
        <v>40.700000000000003</v>
      </c>
      <c r="M35" s="589">
        <v>61.1</v>
      </c>
      <c r="N35" s="590">
        <f t="shared" si="3"/>
        <v>37.999999999999993</v>
      </c>
      <c r="O35" s="591">
        <v>99.1</v>
      </c>
      <c r="P35" s="589">
        <v>41.4</v>
      </c>
      <c r="Q35" s="590">
        <f t="shared" si="4"/>
        <v>1.5</v>
      </c>
      <c r="R35" s="591">
        <v>42.9</v>
      </c>
      <c r="S35" s="589">
        <v>3.6</v>
      </c>
      <c r="T35" s="590">
        <f t="shared" si="5"/>
        <v>4.7000000000000011</v>
      </c>
      <c r="U35" s="591">
        <v>8.3000000000000007</v>
      </c>
      <c r="V35" s="589"/>
      <c r="W35" s="590" t="str">
        <f t="shared" si="6"/>
        <v/>
      </c>
      <c r="X35" s="591">
        <v>15.8</v>
      </c>
      <c r="Y35" s="589"/>
      <c r="Z35" s="588" t="str">
        <f t="shared" si="7"/>
        <v/>
      </c>
      <c r="AA35" s="591">
        <v>46</v>
      </c>
      <c r="AB35" s="589">
        <v>4.5999999999999996</v>
      </c>
      <c r="AC35" s="590">
        <f t="shared" si="8"/>
        <v>2.7</v>
      </c>
      <c r="AD35" s="591">
        <v>7.3</v>
      </c>
      <c r="AE35" s="589">
        <v>6.5</v>
      </c>
      <c r="AF35" s="590">
        <f t="shared" si="9"/>
        <v>6.4</v>
      </c>
      <c r="AG35" s="591">
        <v>12.9</v>
      </c>
      <c r="AH35" s="592">
        <v>158</v>
      </c>
      <c r="AI35" s="593">
        <f t="shared" si="10"/>
        <v>169.60000000000002</v>
      </c>
      <c r="AJ35" s="594">
        <v>327.60000000000002</v>
      </c>
    </row>
    <row r="36" spans="3:36" x14ac:dyDescent="0.3">
      <c r="C36" s="179">
        <v>38777</v>
      </c>
      <c r="D36" s="578">
        <v>2</v>
      </c>
      <c r="E36" s="579">
        <f t="shared" si="0"/>
        <v>22.6</v>
      </c>
      <c r="F36" s="579">
        <v>24.6</v>
      </c>
      <c r="G36" s="580">
        <v>2.1</v>
      </c>
      <c r="H36" s="581">
        <f t="shared" si="1"/>
        <v>12.700000000000001</v>
      </c>
      <c r="I36" s="582">
        <v>14.8</v>
      </c>
      <c r="J36" s="580">
        <v>19.7</v>
      </c>
      <c r="K36" s="581">
        <f t="shared" si="2"/>
        <v>9.6000000000000014</v>
      </c>
      <c r="L36" s="582">
        <v>29.3</v>
      </c>
      <c r="M36" s="580">
        <v>53.7</v>
      </c>
      <c r="N36" s="581">
        <f t="shared" si="3"/>
        <v>36.299999999999997</v>
      </c>
      <c r="O36" s="582">
        <v>90</v>
      </c>
      <c r="P36" s="580">
        <v>31</v>
      </c>
      <c r="Q36" s="581">
        <f t="shared" si="4"/>
        <v>1.3999999999999986</v>
      </c>
      <c r="R36" s="582">
        <v>32.4</v>
      </c>
      <c r="S36" s="580">
        <v>2.9</v>
      </c>
      <c r="T36" s="581">
        <f t="shared" si="5"/>
        <v>2.6999999999999997</v>
      </c>
      <c r="U36" s="582">
        <v>5.6</v>
      </c>
      <c r="V36" s="580"/>
      <c r="W36" s="581" t="str">
        <f t="shared" si="6"/>
        <v/>
      </c>
      <c r="X36" s="582">
        <v>10.1</v>
      </c>
      <c r="Y36" s="580">
        <v>0.5</v>
      </c>
      <c r="Z36" s="579">
        <f t="shared" si="7"/>
        <v>41</v>
      </c>
      <c r="AA36" s="582">
        <v>41.5</v>
      </c>
      <c r="AB36" s="580"/>
      <c r="AC36" s="581" t="str">
        <f t="shared" si="8"/>
        <v/>
      </c>
      <c r="AD36" s="582">
        <v>4.4000000000000004</v>
      </c>
      <c r="AE36" s="580">
        <v>6.8</v>
      </c>
      <c r="AF36" s="581">
        <f t="shared" si="9"/>
        <v>4.3999999999999995</v>
      </c>
      <c r="AG36" s="582">
        <v>11.2</v>
      </c>
      <c r="AH36" s="584">
        <v>121.5</v>
      </c>
      <c r="AI36" s="585">
        <f t="shared" si="10"/>
        <v>142.19999999999999</v>
      </c>
      <c r="AJ36" s="586">
        <v>263.7</v>
      </c>
    </row>
    <row r="37" spans="3:36" x14ac:dyDescent="0.3">
      <c r="C37" s="179">
        <v>38869</v>
      </c>
      <c r="D37" s="587">
        <v>2.9</v>
      </c>
      <c r="E37" s="588">
        <f t="shared" si="0"/>
        <v>43.800000000000004</v>
      </c>
      <c r="F37" s="588">
        <v>46.7</v>
      </c>
      <c r="G37" s="589">
        <v>5.8</v>
      </c>
      <c r="H37" s="590">
        <f t="shared" si="1"/>
        <v>19.7</v>
      </c>
      <c r="I37" s="591">
        <v>25.5</v>
      </c>
      <c r="J37" s="589">
        <v>25</v>
      </c>
      <c r="K37" s="590">
        <f t="shared" si="2"/>
        <v>11</v>
      </c>
      <c r="L37" s="591">
        <v>36</v>
      </c>
      <c r="M37" s="589">
        <v>63.5</v>
      </c>
      <c r="N37" s="590">
        <f t="shared" si="3"/>
        <v>47</v>
      </c>
      <c r="O37" s="591">
        <v>110.5</v>
      </c>
      <c r="P37" s="589">
        <v>47.4</v>
      </c>
      <c r="Q37" s="590">
        <f t="shared" si="4"/>
        <v>2.3000000000000043</v>
      </c>
      <c r="R37" s="591">
        <v>49.7</v>
      </c>
      <c r="S37" s="589">
        <v>3.2</v>
      </c>
      <c r="T37" s="590">
        <f t="shared" si="5"/>
        <v>4</v>
      </c>
      <c r="U37" s="591">
        <v>7.2</v>
      </c>
      <c r="V37" s="589"/>
      <c r="W37" s="590" t="str">
        <f t="shared" si="6"/>
        <v/>
      </c>
      <c r="X37" s="591">
        <v>18.3</v>
      </c>
      <c r="Y37" s="589"/>
      <c r="Z37" s="588" t="str">
        <f t="shared" si="7"/>
        <v/>
      </c>
      <c r="AA37" s="591">
        <v>46.7</v>
      </c>
      <c r="AB37" s="589">
        <v>2.5</v>
      </c>
      <c r="AC37" s="590">
        <f t="shared" si="8"/>
        <v>2.0999999999999996</v>
      </c>
      <c r="AD37" s="591">
        <v>4.5999999999999996</v>
      </c>
      <c r="AE37" s="589">
        <v>4.3</v>
      </c>
      <c r="AF37" s="590">
        <f t="shared" si="9"/>
        <v>8</v>
      </c>
      <c r="AG37" s="591">
        <v>12.3</v>
      </c>
      <c r="AH37" s="592">
        <v>156.30000000000001</v>
      </c>
      <c r="AI37" s="593">
        <f t="shared" si="10"/>
        <v>201.09999999999997</v>
      </c>
      <c r="AJ37" s="594">
        <v>357.4</v>
      </c>
    </row>
    <row r="38" spans="3:36" x14ac:dyDescent="0.3">
      <c r="C38" s="179">
        <v>38961</v>
      </c>
      <c r="D38" s="578">
        <v>4.5</v>
      </c>
      <c r="E38" s="579">
        <f t="shared" si="0"/>
        <v>48.2</v>
      </c>
      <c r="F38" s="579">
        <v>52.7</v>
      </c>
      <c r="G38" s="580">
        <v>8.6999999999999993</v>
      </c>
      <c r="H38" s="581">
        <f t="shared" si="1"/>
        <v>17.600000000000001</v>
      </c>
      <c r="I38" s="582">
        <v>26.3</v>
      </c>
      <c r="J38" s="580">
        <v>31.3</v>
      </c>
      <c r="K38" s="581">
        <f t="shared" si="2"/>
        <v>8.4999999999999964</v>
      </c>
      <c r="L38" s="582">
        <v>39.799999999999997</v>
      </c>
      <c r="M38" s="580">
        <v>64.7</v>
      </c>
      <c r="N38" s="581">
        <f t="shared" si="3"/>
        <v>39.599999999999994</v>
      </c>
      <c r="O38" s="582">
        <v>104.3</v>
      </c>
      <c r="P38" s="580">
        <v>66.400000000000006</v>
      </c>
      <c r="Q38" s="581">
        <f t="shared" si="4"/>
        <v>3.6999999999999886</v>
      </c>
      <c r="R38" s="582">
        <v>70.099999999999994</v>
      </c>
      <c r="S38" s="580">
        <v>3.8</v>
      </c>
      <c r="T38" s="581">
        <f t="shared" si="5"/>
        <v>3.9000000000000004</v>
      </c>
      <c r="U38" s="582">
        <v>7.7</v>
      </c>
      <c r="V38" s="580">
        <v>1.7</v>
      </c>
      <c r="W38" s="581">
        <f t="shared" si="6"/>
        <v>23</v>
      </c>
      <c r="X38" s="582">
        <v>24.7</v>
      </c>
      <c r="Y38" s="580"/>
      <c r="Z38" s="579" t="str">
        <f t="shared" si="7"/>
        <v/>
      </c>
      <c r="AA38" s="582">
        <v>50.5</v>
      </c>
      <c r="AB38" s="580">
        <v>4.7</v>
      </c>
      <c r="AC38" s="581">
        <f t="shared" si="8"/>
        <v>3.8999999999999995</v>
      </c>
      <c r="AD38" s="582">
        <v>8.6</v>
      </c>
      <c r="AE38" s="580"/>
      <c r="AF38" s="581" t="str">
        <f t="shared" si="9"/>
        <v/>
      </c>
      <c r="AG38" s="582">
        <v>9.9</v>
      </c>
      <c r="AH38" s="584">
        <v>190.2</v>
      </c>
      <c r="AI38" s="585">
        <f t="shared" si="10"/>
        <v>204.40000000000003</v>
      </c>
      <c r="AJ38" s="586">
        <v>394.6</v>
      </c>
    </row>
    <row r="39" spans="3:36" x14ac:dyDescent="0.3">
      <c r="C39" s="179">
        <v>39052</v>
      </c>
      <c r="D39" s="587">
        <v>4.8</v>
      </c>
      <c r="E39" s="588">
        <f t="shared" si="0"/>
        <v>48.7</v>
      </c>
      <c r="F39" s="588">
        <v>53.5</v>
      </c>
      <c r="G39" s="589">
        <v>8.8000000000000007</v>
      </c>
      <c r="H39" s="590">
        <f t="shared" si="1"/>
        <v>25.3</v>
      </c>
      <c r="I39" s="591">
        <v>34.1</v>
      </c>
      <c r="J39" s="589">
        <v>37.1</v>
      </c>
      <c r="K39" s="590">
        <f t="shared" si="2"/>
        <v>5.6999999999999957</v>
      </c>
      <c r="L39" s="591">
        <v>42.8</v>
      </c>
      <c r="M39" s="589">
        <v>77.8</v>
      </c>
      <c r="N39" s="590">
        <f t="shared" si="3"/>
        <v>47.2</v>
      </c>
      <c r="O39" s="591">
        <v>125</v>
      </c>
      <c r="P39" s="589">
        <v>71</v>
      </c>
      <c r="Q39" s="590">
        <f t="shared" si="4"/>
        <v>1.5</v>
      </c>
      <c r="R39" s="591">
        <v>72.5</v>
      </c>
      <c r="S39" s="589">
        <v>4.2</v>
      </c>
      <c r="T39" s="590">
        <f t="shared" si="5"/>
        <v>6.6000000000000005</v>
      </c>
      <c r="U39" s="591">
        <v>10.8</v>
      </c>
      <c r="V39" s="589"/>
      <c r="W39" s="590" t="str">
        <f t="shared" si="6"/>
        <v/>
      </c>
      <c r="X39" s="591">
        <v>27.6</v>
      </c>
      <c r="Y39" s="589"/>
      <c r="Z39" s="588" t="str">
        <f t="shared" si="7"/>
        <v/>
      </c>
      <c r="AA39" s="591">
        <v>60</v>
      </c>
      <c r="AB39" s="589">
        <v>6.7</v>
      </c>
      <c r="AC39" s="590">
        <f t="shared" si="8"/>
        <v>3.4999999999999991</v>
      </c>
      <c r="AD39" s="591">
        <v>10.199999999999999</v>
      </c>
      <c r="AE39" s="589">
        <v>4.9000000000000004</v>
      </c>
      <c r="AF39" s="590">
        <f t="shared" si="9"/>
        <v>7</v>
      </c>
      <c r="AG39" s="591">
        <v>11.9</v>
      </c>
      <c r="AH39" s="592">
        <v>217.3</v>
      </c>
      <c r="AI39" s="593">
        <f t="shared" si="10"/>
        <v>230.89999999999998</v>
      </c>
      <c r="AJ39" s="594">
        <v>448.2</v>
      </c>
    </row>
    <row r="40" spans="3:36" x14ac:dyDescent="0.3">
      <c r="C40" s="179">
        <v>39142</v>
      </c>
      <c r="D40" s="578">
        <v>4.7</v>
      </c>
      <c r="E40" s="579">
        <f t="shared" si="0"/>
        <v>46.5</v>
      </c>
      <c r="F40" s="579">
        <v>51.2</v>
      </c>
      <c r="G40" s="580">
        <v>9.5</v>
      </c>
      <c r="H40" s="581">
        <f t="shared" si="1"/>
        <v>24</v>
      </c>
      <c r="I40" s="582">
        <v>33.5</v>
      </c>
      <c r="J40" s="580">
        <v>37.4</v>
      </c>
      <c r="K40" s="581">
        <f t="shared" si="2"/>
        <v>3.2000000000000028</v>
      </c>
      <c r="L40" s="582">
        <v>40.6</v>
      </c>
      <c r="M40" s="580">
        <v>63.7</v>
      </c>
      <c r="N40" s="581">
        <f t="shared" si="3"/>
        <v>39.899999999999991</v>
      </c>
      <c r="O40" s="582">
        <v>103.6</v>
      </c>
      <c r="P40" s="580">
        <v>49.6</v>
      </c>
      <c r="Q40" s="581">
        <f t="shared" si="4"/>
        <v>4.3999999999999986</v>
      </c>
      <c r="R40" s="582">
        <v>54</v>
      </c>
      <c r="S40" s="580">
        <v>4.2</v>
      </c>
      <c r="T40" s="581">
        <f t="shared" si="5"/>
        <v>5.3</v>
      </c>
      <c r="U40" s="582">
        <v>9.5</v>
      </c>
      <c r="V40" s="580">
        <v>2.9</v>
      </c>
      <c r="W40" s="581">
        <f t="shared" si="6"/>
        <v>21.400000000000002</v>
      </c>
      <c r="X40" s="582">
        <v>24.3</v>
      </c>
      <c r="Y40" s="580"/>
      <c r="Z40" s="579" t="str">
        <f t="shared" si="7"/>
        <v/>
      </c>
      <c r="AA40" s="582">
        <v>38.799999999999997</v>
      </c>
      <c r="AB40" s="580"/>
      <c r="AC40" s="581" t="str">
        <f t="shared" si="8"/>
        <v/>
      </c>
      <c r="AD40" s="582">
        <v>3.3</v>
      </c>
      <c r="AE40" s="580">
        <v>6.1</v>
      </c>
      <c r="AF40" s="581">
        <f t="shared" si="9"/>
        <v>4.5</v>
      </c>
      <c r="AG40" s="582">
        <v>10.6</v>
      </c>
      <c r="AH40" s="584">
        <v>179.9</v>
      </c>
      <c r="AI40" s="585">
        <f t="shared" si="10"/>
        <v>189.4</v>
      </c>
      <c r="AJ40" s="586">
        <v>369.3</v>
      </c>
    </row>
    <row r="41" spans="3:36" x14ac:dyDescent="0.3">
      <c r="C41" s="179">
        <v>39234</v>
      </c>
      <c r="D41" s="587">
        <v>8.8000000000000007</v>
      </c>
      <c r="E41" s="588">
        <f t="shared" si="0"/>
        <v>68.3</v>
      </c>
      <c r="F41" s="588">
        <v>77.099999999999994</v>
      </c>
      <c r="G41" s="589">
        <v>14.8</v>
      </c>
      <c r="H41" s="590">
        <f t="shared" si="1"/>
        <v>30.7</v>
      </c>
      <c r="I41" s="591">
        <v>45.5</v>
      </c>
      <c r="J41" s="589">
        <v>52.5</v>
      </c>
      <c r="K41" s="590">
        <f t="shared" si="2"/>
        <v>5.3999999999999986</v>
      </c>
      <c r="L41" s="591">
        <v>57.9</v>
      </c>
      <c r="M41" s="589">
        <v>70.3</v>
      </c>
      <c r="N41" s="590">
        <f t="shared" si="3"/>
        <v>52.7</v>
      </c>
      <c r="O41" s="591">
        <v>123</v>
      </c>
      <c r="P41" s="589">
        <v>85.2</v>
      </c>
      <c r="Q41" s="590">
        <f t="shared" si="4"/>
        <v>3.5999999999999943</v>
      </c>
      <c r="R41" s="591">
        <v>88.8</v>
      </c>
      <c r="S41" s="589">
        <v>4.2</v>
      </c>
      <c r="T41" s="590">
        <f t="shared" si="5"/>
        <v>5.1000000000000005</v>
      </c>
      <c r="U41" s="591">
        <v>9.3000000000000007</v>
      </c>
      <c r="V41" s="589">
        <v>4.5999999999999996</v>
      </c>
      <c r="W41" s="590">
        <f t="shared" si="6"/>
        <v>32.9</v>
      </c>
      <c r="X41" s="591">
        <v>37.5</v>
      </c>
      <c r="Y41" s="589"/>
      <c r="Z41" s="588" t="str">
        <f t="shared" si="7"/>
        <v/>
      </c>
      <c r="AA41" s="591">
        <v>43.9</v>
      </c>
      <c r="AB41" s="589"/>
      <c r="AC41" s="590" t="str">
        <f t="shared" si="8"/>
        <v/>
      </c>
      <c r="AD41" s="591">
        <v>4.8</v>
      </c>
      <c r="AE41" s="589"/>
      <c r="AF41" s="590" t="str">
        <f t="shared" si="9"/>
        <v/>
      </c>
      <c r="AG41" s="591">
        <v>14.5</v>
      </c>
      <c r="AH41" s="592">
        <v>251.8</v>
      </c>
      <c r="AI41" s="593">
        <f t="shared" si="10"/>
        <v>250.7</v>
      </c>
      <c r="AJ41" s="594">
        <v>502.5</v>
      </c>
    </row>
    <row r="42" spans="3:36" x14ac:dyDescent="0.3">
      <c r="C42" s="179">
        <v>39326</v>
      </c>
      <c r="D42" s="578">
        <v>10.6</v>
      </c>
      <c r="E42" s="579">
        <f t="shared" si="0"/>
        <v>54.6</v>
      </c>
      <c r="F42" s="579">
        <v>65.2</v>
      </c>
      <c r="G42" s="580">
        <v>16.399999999999999</v>
      </c>
      <c r="H42" s="581">
        <f t="shared" si="1"/>
        <v>40.5</v>
      </c>
      <c r="I42" s="582">
        <v>56.9</v>
      </c>
      <c r="J42" s="580">
        <v>61.2</v>
      </c>
      <c r="K42" s="581">
        <f t="shared" si="2"/>
        <v>5.5999999999999943</v>
      </c>
      <c r="L42" s="582">
        <v>66.8</v>
      </c>
      <c r="M42" s="580">
        <v>76.5</v>
      </c>
      <c r="N42" s="581">
        <f t="shared" si="3"/>
        <v>53.099999999999994</v>
      </c>
      <c r="O42" s="582">
        <v>129.6</v>
      </c>
      <c r="P42" s="580">
        <v>104.5</v>
      </c>
      <c r="Q42" s="581">
        <f t="shared" si="4"/>
        <v>8.2999999999999972</v>
      </c>
      <c r="R42" s="582">
        <v>112.8</v>
      </c>
      <c r="S42" s="580">
        <v>3.5</v>
      </c>
      <c r="T42" s="581">
        <f t="shared" si="5"/>
        <v>3.7</v>
      </c>
      <c r="U42" s="582">
        <v>7.2</v>
      </c>
      <c r="V42" s="580">
        <v>6.6</v>
      </c>
      <c r="W42" s="581">
        <f t="shared" si="6"/>
        <v>43.4</v>
      </c>
      <c r="X42" s="582">
        <v>50</v>
      </c>
      <c r="Y42" s="580"/>
      <c r="Z42" s="579" t="str">
        <f t="shared" si="7"/>
        <v/>
      </c>
      <c r="AA42" s="582">
        <v>50.1</v>
      </c>
      <c r="AB42" s="580"/>
      <c r="AC42" s="581" t="str">
        <f t="shared" si="8"/>
        <v/>
      </c>
      <c r="AD42" s="582">
        <v>5</v>
      </c>
      <c r="AE42" s="580">
        <v>11.3</v>
      </c>
      <c r="AF42" s="581">
        <f t="shared" si="9"/>
        <v>8.3000000000000007</v>
      </c>
      <c r="AG42" s="582">
        <v>19.600000000000001</v>
      </c>
      <c r="AH42" s="584">
        <v>293.3</v>
      </c>
      <c r="AI42" s="585">
        <f t="shared" si="10"/>
        <v>270.09999999999997</v>
      </c>
      <c r="AJ42" s="586">
        <v>563.4</v>
      </c>
    </row>
    <row r="43" spans="3:36" x14ac:dyDescent="0.3">
      <c r="C43" s="179">
        <v>39417</v>
      </c>
      <c r="D43" s="587">
        <v>9</v>
      </c>
      <c r="E43" s="588">
        <f t="shared" si="0"/>
        <v>61.2</v>
      </c>
      <c r="F43" s="588">
        <v>70.2</v>
      </c>
      <c r="G43" s="589">
        <v>19.7</v>
      </c>
      <c r="H43" s="590">
        <f t="shared" si="1"/>
        <v>31.8</v>
      </c>
      <c r="I43" s="591">
        <v>51.5</v>
      </c>
      <c r="J43" s="589">
        <v>79.5</v>
      </c>
      <c r="K43" s="590">
        <f t="shared" si="2"/>
        <v>6.4000000000000057</v>
      </c>
      <c r="L43" s="591">
        <v>85.9</v>
      </c>
      <c r="M43" s="589">
        <v>85.8</v>
      </c>
      <c r="N43" s="590">
        <f t="shared" si="3"/>
        <v>60.899999999999991</v>
      </c>
      <c r="O43" s="591">
        <v>146.69999999999999</v>
      </c>
      <c r="P43" s="589">
        <v>94</v>
      </c>
      <c r="Q43" s="590">
        <f t="shared" si="4"/>
        <v>4.5</v>
      </c>
      <c r="R43" s="591">
        <v>98.5</v>
      </c>
      <c r="S43" s="589">
        <v>3.7</v>
      </c>
      <c r="T43" s="590">
        <f t="shared" si="5"/>
        <v>6.8</v>
      </c>
      <c r="U43" s="591">
        <v>10.5</v>
      </c>
      <c r="V43" s="589">
        <v>6.4</v>
      </c>
      <c r="W43" s="590">
        <f t="shared" si="6"/>
        <v>63.199999999999996</v>
      </c>
      <c r="X43" s="591">
        <v>69.599999999999994</v>
      </c>
      <c r="Y43" s="589"/>
      <c r="Z43" s="588" t="str">
        <f t="shared" si="7"/>
        <v/>
      </c>
      <c r="AA43" s="591">
        <v>59.8</v>
      </c>
      <c r="AB43" s="589"/>
      <c r="AC43" s="590" t="str">
        <f t="shared" si="8"/>
        <v/>
      </c>
      <c r="AD43" s="591">
        <v>5.3</v>
      </c>
      <c r="AE43" s="589">
        <v>12.4</v>
      </c>
      <c r="AF43" s="590">
        <f t="shared" si="9"/>
        <v>15.4</v>
      </c>
      <c r="AG43" s="591">
        <v>27.8</v>
      </c>
      <c r="AH43" s="592">
        <v>313.8</v>
      </c>
      <c r="AI43" s="593">
        <f t="shared" si="10"/>
        <v>312.09999999999997</v>
      </c>
      <c r="AJ43" s="594">
        <v>625.9</v>
      </c>
    </row>
    <row r="44" spans="3:36" x14ac:dyDescent="0.3">
      <c r="C44" s="179">
        <v>39508</v>
      </c>
      <c r="D44" s="578">
        <v>9</v>
      </c>
      <c r="E44" s="579">
        <f t="shared" si="0"/>
        <v>55.8</v>
      </c>
      <c r="F44" s="579">
        <v>64.8</v>
      </c>
      <c r="G44" s="580">
        <v>9.6999999999999993</v>
      </c>
      <c r="H44" s="581">
        <f t="shared" si="1"/>
        <v>29.3</v>
      </c>
      <c r="I44" s="582">
        <v>39</v>
      </c>
      <c r="J44" s="580">
        <v>58.2</v>
      </c>
      <c r="K44" s="581">
        <f t="shared" si="2"/>
        <v>5.7999999999999972</v>
      </c>
      <c r="L44" s="582">
        <v>64</v>
      </c>
      <c r="M44" s="580">
        <v>85.2</v>
      </c>
      <c r="N44" s="581">
        <f t="shared" si="3"/>
        <v>57.2</v>
      </c>
      <c r="O44" s="582">
        <v>142.4</v>
      </c>
      <c r="P44" s="580">
        <v>82.9</v>
      </c>
      <c r="Q44" s="581">
        <f t="shared" si="4"/>
        <v>9</v>
      </c>
      <c r="R44" s="582">
        <v>91.9</v>
      </c>
      <c r="S44" s="580">
        <v>3.2</v>
      </c>
      <c r="T44" s="581">
        <f t="shared" si="5"/>
        <v>5.7</v>
      </c>
      <c r="U44" s="582">
        <v>8.9</v>
      </c>
      <c r="V44" s="580"/>
      <c r="W44" s="581" t="str">
        <f t="shared" si="6"/>
        <v/>
      </c>
      <c r="X44" s="582">
        <v>49.2</v>
      </c>
      <c r="Y44" s="580"/>
      <c r="Z44" s="579" t="str">
        <f t="shared" si="7"/>
        <v/>
      </c>
      <c r="AA44" s="582">
        <v>54.1</v>
      </c>
      <c r="AB44" s="580">
        <v>3.2</v>
      </c>
      <c r="AC44" s="581">
        <f t="shared" si="8"/>
        <v>2.8999999999999995</v>
      </c>
      <c r="AD44" s="582">
        <v>6.1</v>
      </c>
      <c r="AE44" s="580">
        <v>12.8</v>
      </c>
      <c r="AF44" s="581">
        <f t="shared" si="9"/>
        <v>10.7</v>
      </c>
      <c r="AG44" s="582">
        <v>23.5</v>
      </c>
      <c r="AH44" s="584">
        <v>271.39999999999998</v>
      </c>
      <c r="AI44" s="585">
        <f t="shared" si="10"/>
        <v>272.60000000000002</v>
      </c>
      <c r="AJ44" s="586">
        <v>544</v>
      </c>
    </row>
    <row r="45" spans="3:36" x14ac:dyDescent="0.3">
      <c r="C45" s="179">
        <v>39600</v>
      </c>
      <c r="D45" s="587">
        <v>10.3</v>
      </c>
      <c r="E45" s="588">
        <f t="shared" si="0"/>
        <v>83</v>
      </c>
      <c r="F45" s="588">
        <v>93.3</v>
      </c>
      <c r="G45" s="589">
        <v>10.5</v>
      </c>
      <c r="H45" s="590">
        <f t="shared" si="1"/>
        <v>28.6</v>
      </c>
      <c r="I45" s="591">
        <v>39.1</v>
      </c>
      <c r="J45" s="589">
        <v>81</v>
      </c>
      <c r="K45" s="590">
        <f t="shared" si="2"/>
        <v>5.5</v>
      </c>
      <c r="L45" s="591">
        <v>86.5</v>
      </c>
      <c r="M45" s="589">
        <v>100.3</v>
      </c>
      <c r="N45" s="590">
        <f t="shared" si="3"/>
        <v>73.600000000000009</v>
      </c>
      <c r="O45" s="591">
        <v>173.9</v>
      </c>
      <c r="P45" s="589">
        <v>139.30000000000001</v>
      </c>
      <c r="Q45" s="590">
        <f t="shared" si="4"/>
        <v>7.2999999999999829</v>
      </c>
      <c r="R45" s="591">
        <v>146.6</v>
      </c>
      <c r="S45" s="589">
        <v>4.3</v>
      </c>
      <c r="T45" s="590">
        <f t="shared" si="5"/>
        <v>6.1000000000000005</v>
      </c>
      <c r="U45" s="591">
        <v>10.4</v>
      </c>
      <c r="V45" s="589"/>
      <c r="W45" s="590" t="str">
        <f t="shared" si="6"/>
        <v/>
      </c>
      <c r="X45" s="591">
        <v>62.7</v>
      </c>
      <c r="Y45" s="589"/>
      <c r="Z45" s="588" t="str">
        <f t="shared" si="7"/>
        <v/>
      </c>
      <c r="AA45" s="591">
        <v>70.8</v>
      </c>
      <c r="AB45" s="589"/>
      <c r="AC45" s="590" t="str">
        <f t="shared" si="8"/>
        <v/>
      </c>
      <c r="AD45" s="591">
        <v>5.3</v>
      </c>
      <c r="AE45" s="589">
        <v>23.7</v>
      </c>
      <c r="AF45" s="590">
        <f t="shared" si="9"/>
        <v>15.7</v>
      </c>
      <c r="AG45" s="591">
        <v>39.4</v>
      </c>
      <c r="AH45" s="592">
        <v>381.2</v>
      </c>
      <c r="AI45" s="593">
        <f t="shared" si="10"/>
        <v>346.90000000000003</v>
      </c>
      <c r="AJ45" s="594">
        <v>728.1</v>
      </c>
    </row>
    <row r="46" spans="3:36" x14ac:dyDescent="0.3">
      <c r="C46" s="179">
        <v>39692</v>
      </c>
      <c r="D46" s="578">
        <v>11</v>
      </c>
      <c r="E46" s="579">
        <f t="shared" si="0"/>
        <v>68.2</v>
      </c>
      <c r="F46" s="579">
        <v>79.2</v>
      </c>
      <c r="G46" s="580">
        <v>13.1</v>
      </c>
      <c r="H46" s="581">
        <f t="shared" si="1"/>
        <v>21.699999999999996</v>
      </c>
      <c r="I46" s="582">
        <v>34.799999999999997</v>
      </c>
      <c r="J46" s="580">
        <v>90.3</v>
      </c>
      <c r="K46" s="581">
        <f t="shared" si="2"/>
        <v>4.7000000000000028</v>
      </c>
      <c r="L46" s="582">
        <v>95</v>
      </c>
      <c r="M46" s="580">
        <v>75.900000000000006</v>
      </c>
      <c r="N46" s="581">
        <f t="shared" si="3"/>
        <v>57.299999999999983</v>
      </c>
      <c r="O46" s="582">
        <v>133.19999999999999</v>
      </c>
      <c r="P46" s="580">
        <v>153.19999999999999</v>
      </c>
      <c r="Q46" s="581">
        <f t="shared" si="4"/>
        <v>8.8000000000000114</v>
      </c>
      <c r="R46" s="582">
        <v>162</v>
      </c>
      <c r="S46" s="580">
        <v>2.7</v>
      </c>
      <c r="T46" s="581">
        <f t="shared" si="5"/>
        <v>6.3999999999999995</v>
      </c>
      <c r="U46" s="582">
        <v>9.1</v>
      </c>
      <c r="V46" s="580"/>
      <c r="W46" s="581" t="str">
        <f t="shared" si="6"/>
        <v/>
      </c>
      <c r="X46" s="582">
        <v>56.7</v>
      </c>
      <c r="Y46" s="580"/>
      <c r="Z46" s="579" t="str">
        <f t="shared" si="7"/>
        <v/>
      </c>
      <c r="AA46" s="582">
        <v>68.5</v>
      </c>
      <c r="AB46" s="580">
        <v>1.3</v>
      </c>
      <c r="AC46" s="581">
        <f t="shared" si="8"/>
        <v>1.0999999999999999</v>
      </c>
      <c r="AD46" s="582">
        <v>2.4</v>
      </c>
      <c r="AE46" s="580">
        <v>27.9</v>
      </c>
      <c r="AF46" s="581">
        <f t="shared" si="9"/>
        <v>18.899999999999999</v>
      </c>
      <c r="AG46" s="582">
        <v>46.8</v>
      </c>
      <c r="AH46" s="584">
        <v>383.8</v>
      </c>
      <c r="AI46" s="585">
        <f t="shared" si="10"/>
        <v>303.90000000000003</v>
      </c>
      <c r="AJ46" s="586">
        <v>687.7</v>
      </c>
    </row>
    <row r="47" spans="3:36" x14ac:dyDescent="0.3">
      <c r="C47" s="179">
        <v>39783</v>
      </c>
      <c r="D47" s="587">
        <v>9.4</v>
      </c>
      <c r="E47" s="588">
        <f t="shared" si="0"/>
        <v>46.300000000000004</v>
      </c>
      <c r="F47" s="588">
        <v>55.7</v>
      </c>
      <c r="G47" s="589">
        <v>6.5</v>
      </c>
      <c r="H47" s="590">
        <f t="shared" si="1"/>
        <v>13.7</v>
      </c>
      <c r="I47" s="591">
        <v>20.2</v>
      </c>
      <c r="J47" s="589">
        <v>73.7</v>
      </c>
      <c r="K47" s="590">
        <f t="shared" si="2"/>
        <v>4.7999999999999972</v>
      </c>
      <c r="L47" s="591">
        <v>78.5</v>
      </c>
      <c r="M47" s="589">
        <v>67.7</v>
      </c>
      <c r="N47" s="590">
        <f t="shared" si="3"/>
        <v>52.7</v>
      </c>
      <c r="O47" s="591">
        <v>120.4</v>
      </c>
      <c r="P47" s="589">
        <v>170.6</v>
      </c>
      <c r="Q47" s="590">
        <f t="shared" si="4"/>
        <v>11.900000000000006</v>
      </c>
      <c r="R47" s="591">
        <v>182.5</v>
      </c>
      <c r="S47" s="589">
        <v>4.0999999999999996</v>
      </c>
      <c r="T47" s="590">
        <f t="shared" si="5"/>
        <v>5</v>
      </c>
      <c r="U47" s="591">
        <v>9.1</v>
      </c>
      <c r="V47" s="589"/>
      <c r="W47" s="590" t="str">
        <f t="shared" si="6"/>
        <v/>
      </c>
      <c r="X47" s="591">
        <v>51.9</v>
      </c>
      <c r="Y47" s="589">
        <v>4.5</v>
      </c>
      <c r="Z47" s="588">
        <f t="shared" si="7"/>
        <v>78.400000000000006</v>
      </c>
      <c r="AA47" s="591">
        <v>82.9</v>
      </c>
      <c r="AB47" s="589"/>
      <c r="AC47" s="590" t="str">
        <f t="shared" si="8"/>
        <v/>
      </c>
      <c r="AD47" s="591">
        <v>3.5</v>
      </c>
      <c r="AE47" s="589">
        <v>19</v>
      </c>
      <c r="AF47" s="590">
        <f t="shared" si="9"/>
        <v>24.700000000000003</v>
      </c>
      <c r="AG47" s="591">
        <v>43.7</v>
      </c>
      <c r="AH47" s="592">
        <v>364</v>
      </c>
      <c r="AI47" s="593">
        <f t="shared" si="10"/>
        <v>284.5</v>
      </c>
      <c r="AJ47" s="594">
        <v>648.5</v>
      </c>
    </row>
    <row r="48" spans="3:36" x14ac:dyDescent="0.3">
      <c r="C48" s="179">
        <v>39873</v>
      </c>
      <c r="D48" s="578">
        <v>4.4000000000000004</v>
      </c>
      <c r="E48" s="579">
        <f t="shared" si="0"/>
        <v>21.4</v>
      </c>
      <c r="F48" s="579">
        <v>25.8</v>
      </c>
      <c r="G48" s="580">
        <v>3</v>
      </c>
      <c r="H48" s="581">
        <f t="shared" si="1"/>
        <v>14.600000000000001</v>
      </c>
      <c r="I48" s="582">
        <v>17.600000000000001</v>
      </c>
      <c r="J48" s="580">
        <v>39.4</v>
      </c>
      <c r="K48" s="581">
        <f t="shared" si="2"/>
        <v>1.8000000000000043</v>
      </c>
      <c r="L48" s="582">
        <v>41.2</v>
      </c>
      <c r="M48" s="580">
        <v>56.6</v>
      </c>
      <c r="N48" s="581">
        <f t="shared" si="3"/>
        <v>28.999999999999993</v>
      </c>
      <c r="O48" s="582">
        <v>85.6</v>
      </c>
      <c r="P48" s="580">
        <v>100.1</v>
      </c>
      <c r="Q48" s="581">
        <f t="shared" si="4"/>
        <v>5.5</v>
      </c>
      <c r="R48" s="582">
        <v>105.6</v>
      </c>
      <c r="S48" s="580">
        <v>3.1</v>
      </c>
      <c r="T48" s="581">
        <f t="shared" si="5"/>
        <v>2.3000000000000003</v>
      </c>
      <c r="U48" s="582">
        <v>5.4</v>
      </c>
      <c r="V48" s="580">
        <v>5.6</v>
      </c>
      <c r="W48" s="581">
        <f t="shared" si="6"/>
        <v>22.1</v>
      </c>
      <c r="X48" s="582">
        <v>27.7</v>
      </c>
      <c r="Y48" s="580"/>
      <c r="Z48" s="579" t="str">
        <f t="shared" si="7"/>
        <v/>
      </c>
      <c r="AA48" s="582">
        <v>69.2</v>
      </c>
      <c r="AB48" s="580"/>
      <c r="AC48" s="581" t="str">
        <f t="shared" si="8"/>
        <v/>
      </c>
      <c r="AD48" s="582">
        <v>2</v>
      </c>
      <c r="AE48" s="580">
        <v>10.1</v>
      </c>
      <c r="AF48" s="581">
        <f t="shared" si="9"/>
        <v>13.200000000000001</v>
      </c>
      <c r="AG48" s="582">
        <v>23.3</v>
      </c>
      <c r="AH48" s="584">
        <v>224.2</v>
      </c>
      <c r="AI48" s="585">
        <f t="shared" si="10"/>
        <v>179.3</v>
      </c>
      <c r="AJ48" s="586">
        <v>403.5</v>
      </c>
    </row>
    <row r="49" spans="3:36" x14ac:dyDescent="0.3">
      <c r="C49" s="179">
        <v>39965</v>
      </c>
      <c r="D49" s="587">
        <v>3.3</v>
      </c>
      <c r="E49" s="588">
        <f t="shared" si="0"/>
        <v>14.7</v>
      </c>
      <c r="F49" s="588">
        <v>18</v>
      </c>
      <c r="G49" s="589">
        <v>2</v>
      </c>
      <c r="H49" s="590">
        <f t="shared" si="1"/>
        <v>5.9</v>
      </c>
      <c r="I49" s="591">
        <v>7.9</v>
      </c>
      <c r="J49" s="589">
        <v>43.3</v>
      </c>
      <c r="K49" s="590">
        <f t="shared" si="2"/>
        <v>1.9000000000000057</v>
      </c>
      <c r="L49" s="591">
        <v>45.2</v>
      </c>
      <c r="M49" s="589">
        <v>62.5</v>
      </c>
      <c r="N49" s="590">
        <f t="shared" si="3"/>
        <v>36.299999999999997</v>
      </c>
      <c r="O49" s="591">
        <v>98.8</v>
      </c>
      <c r="P49" s="589">
        <v>134.80000000000001</v>
      </c>
      <c r="Q49" s="590">
        <f t="shared" si="4"/>
        <v>3.7999999999999829</v>
      </c>
      <c r="R49" s="591">
        <v>138.6</v>
      </c>
      <c r="S49" s="589">
        <v>3.1</v>
      </c>
      <c r="T49" s="590">
        <f t="shared" si="5"/>
        <v>3.9</v>
      </c>
      <c r="U49" s="591">
        <v>7</v>
      </c>
      <c r="V49" s="589">
        <v>9.9</v>
      </c>
      <c r="W49" s="590">
        <f t="shared" si="6"/>
        <v>39</v>
      </c>
      <c r="X49" s="591">
        <v>48.9</v>
      </c>
      <c r="Y49" s="589"/>
      <c r="Z49" s="588" t="str">
        <f t="shared" si="7"/>
        <v/>
      </c>
      <c r="AA49" s="591">
        <v>76.7</v>
      </c>
      <c r="AB49" s="589"/>
      <c r="AC49" s="590" t="str">
        <f t="shared" si="8"/>
        <v/>
      </c>
      <c r="AD49" s="591">
        <v>2.1</v>
      </c>
      <c r="AE49" s="589">
        <v>14.2</v>
      </c>
      <c r="AF49" s="590">
        <f t="shared" si="9"/>
        <v>26.099999999999998</v>
      </c>
      <c r="AG49" s="591">
        <v>40.299999999999997</v>
      </c>
      <c r="AH49" s="592">
        <v>274.8</v>
      </c>
      <c r="AI49" s="593">
        <f t="shared" si="10"/>
        <v>208.7</v>
      </c>
      <c r="AJ49" s="594">
        <v>483.5</v>
      </c>
    </row>
    <row r="50" spans="3:36" x14ac:dyDescent="0.3">
      <c r="C50" s="179">
        <v>40057</v>
      </c>
      <c r="D50" s="578">
        <v>7.9</v>
      </c>
      <c r="E50" s="579">
        <f t="shared" si="0"/>
        <v>29.1</v>
      </c>
      <c r="F50" s="579">
        <v>37</v>
      </c>
      <c r="G50" s="580">
        <v>4.4000000000000004</v>
      </c>
      <c r="H50" s="581">
        <f t="shared" si="1"/>
        <v>7.9</v>
      </c>
      <c r="I50" s="582">
        <v>12.3</v>
      </c>
      <c r="J50" s="580">
        <v>46.1</v>
      </c>
      <c r="K50" s="581">
        <f t="shared" si="2"/>
        <v>2.5</v>
      </c>
      <c r="L50" s="582">
        <v>48.6</v>
      </c>
      <c r="M50" s="580">
        <v>70.7</v>
      </c>
      <c r="N50" s="581">
        <f t="shared" si="3"/>
        <v>62.7</v>
      </c>
      <c r="O50" s="582">
        <v>133.4</v>
      </c>
      <c r="P50" s="580">
        <v>134.19999999999999</v>
      </c>
      <c r="Q50" s="581">
        <f t="shared" si="4"/>
        <v>6.3000000000000114</v>
      </c>
      <c r="R50" s="582">
        <v>140.5</v>
      </c>
      <c r="S50" s="580">
        <v>3.8</v>
      </c>
      <c r="T50" s="581">
        <f t="shared" si="5"/>
        <v>5.7</v>
      </c>
      <c r="U50" s="582">
        <v>9.5</v>
      </c>
      <c r="V50" s="580">
        <v>10.6</v>
      </c>
      <c r="W50" s="581">
        <f t="shared" si="6"/>
        <v>43.3</v>
      </c>
      <c r="X50" s="582">
        <v>53.9</v>
      </c>
      <c r="Y50" s="580"/>
      <c r="Z50" s="579" t="str">
        <f t="shared" si="7"/>
        <v/>
      </c>
      <c r="AA50" s="582">
        <v>82.1</v>
      </c>
      <c r="AB50" s="580"/>
      <c r="AC50" s="581" t="str">
        <f t="shared" si="8"/>
        <v/>
      </c>
      <c r="AD50" s="582">
        <v>2.7</v>
      </c>
      <c r="AE50" s="580">
        <v>20.100000000000001</v>
      </c>
      <c r="AF50" s="581">
        <f t="shared" si="9"/>
        <v>17.299999999999997</v>
      </c>
      <c r="AG50" s="582">
        <v>37.4</v>
      </c>
      <c r="AH50" s="584">
        <v>298.89999999999998</v>
      </c>
      <c r="AI50" s="585">
        <f t="shared" si="10"/>
        <v>258.5</v>
      </c>
      <c r="AJ50" s="586">
        <v>557.4</v>
      </c>
    </row>
    <row r="51" spans="3:36" x14ac:dyDescent="0.3">
      <c r="C51" s="179">
        <v>40148</v>
      </c>
      <c r="D51" s="587">
        <v>14.3</v>
      </c>
      <c r="E51" s="588">
        <f t="shared" si="0"/>
        <v>39.700000000000003</v>
      </c>
      <c r="F51" s="588">
        <v>54</v>
      </c>
      <c r="G51" s="589">
        <v>3.7</v>
      </c>
      <c r="H51" s="590">
        <f t="shared" si="1"/>
        <v>6.7</v>
      </c>
      <c r="I51" s="591">
        <v>10.4</v>
      </c>
      <c r="J51" s="589">
        <v>48</v>
      </c>
      <c r="K51" s="590">
        <f t="shared" si="2"/>
        <v>3.2999999999999972</v>
      </c>
      <c r="L51" s="591">
        <v>51.3</v>
      </c>
      <c r="M51" s="589">
        <v>87</v>
      </c>
      <c r="N51" s="590">
        <f t="shared" si="3"/>
        <v>58.5</v>
      </c>
      <c r="O51" s="591">
        <v>145.5</v>
      </c>
      <c r="P51" s="589">
        <v>131.19999999999999</v>
      </c>
      <c r="Q51" s="590">
        <f t="shared" si="4"/>
        <v>5.3000000000000114</v>
      </c>
      <c r="R51" s="591">
        <v>136.5</v>
      </c>
      <c r="S51" s="589"/>
      <c r="T51" s="590" t="str">
        <f t="shared" si="5"/>
        <v/>
      </c>
      <c r="U51" s="591">
        <v>6.5</v>
      </c>
      <c r="V51" s="589">
        <v>18.7</v>
      </c>
      <c r="W51" s="590">
        <f t="shared" si="6"/>
        <v>30.400000000000002</v>
      </c>
      <c r="X51" s="591">
        <v>49.1</v>
      </c>
      <c r="Y51" s="589"/>
      <c r="Z51" s="588" t="str">
        <f t="shared" si="7"/>
        <v/>
      </c>
      <c r="AA51" s="591">
        <v>84.7</v>
      </c>
      <c r="AB51" s="589">
        <v>0.1</v>
      </c>
      <c r="AC51" s="590">
        <f t="shared" si="8"/>
        <v>0.9</v>
      </c>
      <c r="AD51" s="591">
        <v>1</v>
      </c>
      <c r="AE51" s="589">
        <v>15.3</v>
      </c>
      <c r="AF51" s="590">
        <f t="shared" si="9"/>
        <v>24.400000000000002</v>
      </c>
      <c r="AG51" s="591">
        <v>39.700000000000003</v>
      </c>
      <c r="AH51" s="592">
        <v>321.7</v>
      </c>
      <c r="AI51" s="593">
        <f t="shared" si="10"/>
        <v>257.09999999999997</v>
      </c>
      <c r="AJ51" s="594">
        <v>578.79999999999995</v>
      </c>
    </row>
    <row r="52" spans="3:36" x14ac:dyDescent="0.3">
      <c r="C52" s="179">
        <v>40238</v>
      </c>
      <c r="D52" s="578">
        <v>8.3000000000000007</v>
      </c>
      <c r="E52" s="579">
        <f t="shared" si="0"/>
        <v>38.700000000000003</v>
      </c>
      <c r="F52" s="579">
        <v>47</v>
      </c>
      <c r="G52" s="580">
        <v>6.2</v>
      </c>
      <c r="H52" s="581">
        <f t="shared" si="1"/>
        <v>6.8</v>
      </c>
      <c r="I52" s="582">
        <v>13</v>
      </c>
      <c r="J52" s="580">
        <v>46.3</v>
      </c>
      <c r="K52" s="581">
        <f t="shared" si="2"/>
        <v>1.3000000000000043</v>
      </c>
      <c r="L52" s="582">
        <v>47.6</v>
      </c>
      <c r="M52" s="580">
        <v>81.8</v>
      </c>
      <c r="N52" s="581">
        <f t="shared" si="3"/>
        <v>49.000000000000014</v>
      </c>
      <c r="O52" s="582">
        <v>130.80000000000001</v>
      </c>
      <c r="P52" s="580">
        <v>89.4</v>
      </c>
      <c r="Q52" s="581">
        <f t="shared" si="4"/>
        <v>6.8999999999999915</v>
      </c>
      <c r="R52" s="582">
        <v>96.3</v>
      </c>
      <c r="S52" s="580"/>
      <c r="T52" s="581" t="str">
        <f t="shared" si="5"/>
        <v/>
      </c>
      <c r="U52" s="582"/>
      <c r="V52" s="580">
        <v>8.6</v>
      </c>
      <c r="W52" s="581">
        <f t="shared" si="6"/>
        <v>15.1</v>
      </c>
      <c r="X52" s="582">
        <v>23.7</v>
      </c>
      <c r="Y52" s="580">
        <v>0.5</v>
      </c>
      <c r="Z52" s="579">
        <f t="shared" si="7"/>
        <v>59.9</v>
      </c>
      <c r="AA52" s="582">
        <v>60.4</v>
      </c>
      <c r="AB52" s="580"/>
      <c r="AC52" s="581" t="str">
        <f t="shared" si="8"/>
        <v/>
      </c>
      <c r="AD52" s="582"/>
      <c r="AE52" s="580">
        <v>13.7</v>
      </c>
      <c r="AF52" s="581">
        <f t="shared" si="9"/>
        <v>18.8</v>
      </c>
      <c r="AG52" s="582">
        <v>32.5</v>
      </c>
      <c r="AH52" s="584">
        <v>257.10000000000002</v>
      </c>
      <c r="AI52" s="585">
        <f t="shared" si="10"/>
        <v>202.2</v>
      </c>
      <c r="AJ52" s="586">
        <v>459.3</v>
      </c>
    </row>
    <row r="53" spans="3:36" x14ac:dyDescent="0.3">
      <c r="C53" s="179">
        <v>40330</v>
      </c>
      <c r="D53" s="587">
        <v>15.4</v>
      </c>
      <c r="E53" s="588">
        <f t="shared" si="0"/>
        <v>48.300000000000004</v>
      </c>
      <c r="F53" s="588">
        <v>63.7</v>
      </c>
      <c r="G53" s="589">
        <v>7.2</v>
      </c>
      <c r="H53" s="590">
        <f t="shared" si="1"/>
        <v>8.6999999999999993</v>
      </c>
      <c r="I53" s="591">
        <v>15.9</v>
      </c>
      <c r="J53" s="589">
        <v>54.3</v>
      </c>
      <c r="K53" s="590">
        <f t="shared" si="2"/>
        <v>2.1000000000000014</v>
      </c>
      <c r="L53" s="591">
        <v>56.4</v>
      </c>
      <c r="M53" s="589">
        <v>109</v>
      </c>
      <c r="N53" s="590">
        <f t="shared" si="3"/>
        <v>56.699999999999989</v>
      </c>
      <c r="O53" s="591">
        <v>165.7</v>
      </c>
      <c r="P53" s="589">
        <v>142.30000000000001</v>
      </c>
      <c r="Q53" s="590">
        <f t="shared" si="4"/>
        <v>8.5</v>
      </c>
      <c r="R53" s="591">
        <v>150.80000000000001</v>
      </c>
      <c r="S53" s="589">
        <v>3.1</v>
      </c>
      <c r="T53" s="590" t="str">
        <f t="shared" si="5"/>
        <v/>
      </c>
      <c r="U53" s="591"/>
      <c r="V53" s="589">
        <v>17.5</v>
      </c>
      <c r="W53" s="590">
        <f t="shared" si="6"/>
        <v>24.9</v>
      </c>
      <c r="X53" s="591">
        <v>42.4</v>
      </c>
      <c r="Y53" s="589"/>
      <c r="Z53" s="588" t="str">
        <f t="shared" si="7"/>
        <v/>
      </c>
      <c r="AA53" s="591">
        <v>94</v>
      </c>
      <c r="AB53" s="589"/>
      <c r="AC53" s="590" t="str">
        <f t="shared" si="8"/>
        <v/>
      </c>
      <c r="AD53" s="591"/>
      <c r="AE53" s="589">
        <v>16.2</v>
      </c>
      <c r="AF53" s="590">
        <f t="shared" si="9"/>
        <v>21.3</v>
      </c>
      <c r="AG53" s="591">
        <v>37.5</v>
      </c>
      <c r="AH53" s="592">
        <v>366.3</v>
      </c>
      <c r="AI53" s="593">
        <f t="shared" si="10"/>
        <v>270.8</v>
      </c>
      <c r="AJ53" s="594">
        <v>637.1</v>
      </c>
    </row>
    <row r="54" spans="3:36" x14ac:dyDescent="0.3">
      <c r="C54" s="179">
        <v>40422</v>
      </c>
      <c r="D54" s="578">
        <v>19.2</v>
      </c>
      <c r="E54" s="579">
        <f t="shared" si="0"/>
        <v>49.7</v>
      </c>
      <c r="F54" s="579">
        <v>68.900000000000006</v>
      </c>
      <c r="G54" s="580">
        <v>7.2</v>
      </c>
      <c r="H54" s="581">
        <f t="shared" si="1"/>
        <v>11.8</v>
      </c>
      <c r="I54" s="582">
        <v>19</v>
      </c>
      <c r="J54" s="580">
        <v>67.400000000000006</v>
      </c>
      <c r="K54" s="581">
        <f t="shared" si="2"/>
        <v>1.8999999999999915</v>
      </c>
      <c r="L54" s="582">
        <v>69.3</v>
      </c>
      <c r="M54" s="580">
        <v>105.3</v>
      </c>
      <c r="N54" s="581">
        <f t="shared" si="3"/>
        <v>55.000000000000014</v>
      </c>
      <c r="O54" s="582">
        <v>160.30000000000001</v>
      </c>
      <c r="P54" s="580">
        <v>136.19999999999999</v>
      </c>
      <c r="Q54" s="581">
        <f t="shared" si="4"/>
        <v>15.800000000000011</v>
      </c>
      <c r="R54" s="582">
        <v>152</v>
      </c>
      <c r="S54" s="580">
        <v>2.1</v>
      </c>
      <c r="T54" s="581" t="str">
        <f t="shared" si="5"/>
        <v/>
      </c>
      <c r="U54" s="582"/>
      <c r="V54" s="580">
        <v>26.8</v>
      </c>
      <c r="W54" s="581">
        <f t="shared" si="6"/>
        <v>31.8</v>
      </c>
      <c r="X54" s="582">
        <v>58.6</v>
      </c>
      <c r="Y54" s="580"/>
      <c r="Z54" s="579" t="str">
        <f t="shared" si="7"/>
        <v/>
      </c>
      <c r="AA54" s="582">
        <v>85.1</v>
      </c>
      <c r="AB54" s="580"/>
      <c r="AC54" s="581" t="str">
        <f t="shared" si="8"/>
        <v/>
      </c>
      <c r="AD54" s="582"/>
      <c r="AE54" s="580">
        <v>18.8</v>
      </c>
      <c r="AF54" s="581">
        <f t="shared" si="9"/>
        <v>29.599999999999998</v>
      </c>
      <c r="AG54" s="582">
        <v>48.4</v>
      </c>
      <c r="AH54" s="584">
        <v>384.6</v>
      </c>
      <c r="AI54" s="585">
        <f t="shared" si="10"/>
        <v>284.79999999999995</v>
      </c>
      <c r="AJ54" s="586">
        <v>669.4</v>
      </c>
    </row>
    <row r="55" spans="3:36" x14ac:dyDescent="0.3">
      <c r="C55" s="179">
        <v>40513</v>
      </c>
      <c r="D55" s="587">
        <v>22.9</v>
      </c>
      <c r="E55" s="588">
        <f t="shared" si="0"/>
        <v>58.9</v>
      </c>
      <c r="F55" s="588">
        <v>81.8</v>
      </c>
      <c r="G55" s="589">
        <v>7.7</v>
      </c>
      <c r="H55" s="590">
        <f t="shared" si="1"/>
        <v>11</v>
      </c>
      <c r="I55" s="591">
        <v>18.7</v>
      </c>
      <c r="J55" s="589">
        <v>59.8</v>
      </c>
      <c r="K55" s="590">
        <f t="shared" si="2"/>
        <v>2.6000000000000014</v>
      </c>
      <c r="L55" s="591">
        <v>62.4</v>
      </c>
      <c r="M55" s="589">
        <v>116</v>
      </c>
      <c r="N55" s="590">
        <f t="shared" si="3"/>
        <v>51.300000000000011</v>
      </c>
      <c r="O55" s="591">
        <v>167.3</v>
      </c>
      <c r="P55" s="589">
        <v>134.5</v>
      </c>
      <c r="Q55" s="590">
        <f t="shared" si="4"/>
        <v>19.699999999999989</v>
      </c>
      <c r="R55" s="591">
        <v>154.19999999999999</v>
      </c>
      <c r="S55" s="589">
        <v>2.4</v>
      </c>
      <c r="T55" s="590" t="str">
        <f t="shared" si="5"/>
        <v/>
      </c>
      <c r="U55" s="591"/>
      <c r="V55" s="589">
        <v>31.1</v>
      </c>
      <c r="W55" s="590">
        <f t="shared" si="6"/>
        <v>34.199999999999996</v>
      </c>
      <c r="X55" s="591">
        <v>65.3</v>
      </c>
      <c r="Y55" s="589"/>
      <c r="Z55" s="588" t="str">
        <f t="shared" si="7"/>
        <v/>
      </c>
      <c r="AA55" s="591">
        <v>122.3</v>
      </c>
      <c r="AB55" s="589"/>
      <c r="AC55" s="590" t="str">
        <f t="shared" si="8"/>
        <v/>
      </c>
      <c r="AD55" s="591"/>
      <c r="AE55" s="589">
        <v>16.7</v>
      </c>
      <c r="AF55" s="590">
        <f t="shared" si="9"/>
        <v>27.500000000000004</v>
      </c>
      <c r="AG55" s="591">
        <v>44.2</v>
      </c>
      <c r="AH55" s="592">
        <v>393.7</v>
      </c>
      <c r="AI55" s="593">
        <f t="shared" si="10"/>
        <v>330.7</v>
      </c>
      <c r="AJ55" s="594">
        <v>724.4</v>
      </c>
    </row>
    <row r="56" spans="3:36" x14ac:dyDescent="0.3">
      <c r="C56" s="179">
        <v>40603</v>
      </c>
      <c r="D56" s="578">
        <v>15.6</v>
      </c>
      <c r="E56" s="579">
        <f t="shared" si="0"/>
        <v>55.300000000000004</v>
      </c>
      <c r="F56" s="579">
        <v>70.900000000000006</v>
      </c>
      <c r="G56" s="580">
        <v>5.4</v>
      </c>
      <c r="H56" s="581">
        <f t="shared" si="1"/>
        <v>12.6</v>
      </c>
      <c r="I56" s="582">
        <v>18</v>
      </c>
      <c r="J56" s="580">
        <v>65.099999999999994</v>
      </c>
      <c r="K56" s="581">
        <f t="shared" si="2"/>
        <v>2.5</v>
      </c>
      <c r="L56" s="582">
        <v>67.599999999999994</v>
      </c>
      <c r="M56" s="580">
        <v>108.9</v>
      </c>
      <c r="N56" s="581">
        <f t="shared" si="3"/>
        <v>37.5</v>
      </c>
      <c r="O56" s="582">
        <v>146.4</v>
      </c>
      <c r="P56" s="580">
        <v>124.4</v>
      </c>
      <c r="Q56" s="581">
        <f t="shared" si="4"/>
        <v>19.699999999999989</v>
      </c>
      <c r="R56" s="582">
        <v>144.1</v>
      </c>
      <c r="S56" s="580">
        <v>2.6</v>
      </c>
      <c r="T56" s="581">
        <f t="shared" si="5"/>
        <v>3.6</v>
      </c>
      <c r="U56" s="582">
        <v>6.2</v>
      </c>
      <c r="V56" s="580">
        <v>22.6</v>
      </c>
      <c r="W56" s="581">
        <f t="shared" si="6"/>
        <v>20.799999999999997</v>
      </c>
      <c r="X56" s="582">
        <v>43.4</v>
      </c>
      <c r="Y56" s="580"/>
      <c r="Z56" s="579" t="str">
        <f t="shared" si="7"/>
        <v/>
      </c>
      <c r="AA56" s="582">
        <v>109.6</v>
      </c>
      <c r="AB56" s="580"/>
      <c r="AC56" s="581" t="str">
        <f t="shared" si="8"/>
        <v/>
      </c>
      <c r="AD56" s="582">
        <v>0.6</v>
      </c>
      <c r="AE56" s="580">
        <v>16.2</v>
      </c>
      <c r="AF56" s="581">
        <f t="shared" si="9"/>
        <v>27.2</v>
      </c>
      <c r="AG56" s="582">
        <v>43.4</v>
      </c>
      <c r="AH56" s="584">
        <v>362.2</v>
      </c>
      <c r="AI56" s="585">
        <f t="shared" si="10"/>
        <v>287.90000000000003</v>
      </c>
      <c r="AJ56" s="586">
        <v>650.1</v>
      </c>
    </row>
    <row r="57" spans="3:36" x14ac:dyDescent="0.3">
      <c r="C57" s="179">
        <v>40695</v>
      </c>
      <c r="D57" s="587">
        <v>21</v>
      </c>
      <c r="E57" s="588">
        <f t="shared" si="0"/>
        <v>80.5</v>
      </c>
      <c r="F57" s="588">
        <v>101.5</v>
      </c>
      <c r="G57" s="589">
        <v>5.0999999999999996</v>
      </c>
      <c r="H57" s="590">
        <f t="shared" si="1"/>
        <v>14.700000000000001</v>
      </c>
      <c r="I57" s="591">
        <v>19.8</v>
      </c>
      <c r="J57" s="589">
        <v>68.8</v>
      </c>
      <c r="K57" s="590">
        <f t="shared" si="2"/>
        <v>2.7999999999999972</v>
      </c>
      <c r="L57" s="591">
        <v>71.599999999999994</v>
      </c>
      <c r="M57" s="589">
        <v>122.3</v>
      </c>
      <c r="N57" s="590">
        <f t="shared" si="3"/>
        <v>55.899999999999991</v>
      </c>
      <c r="O57" s="591">
        <v>178.2</v>
      </c>
      <c r="P57" s="589">
        <v>189.9</v>
      </c>
      <c r="Q57" s="590">
        <f t="shared" si="4"/>
        <v>24.799999999999983</v>
      </c>
      <c r="R57" s="591">
        <v>214.7</v>
      </c>
      <c r="S57" s="589">
        <v>3.7</v>
      </c>
      <c r="T57" s="590" t="str">
        <f t="shared" si="5"/>
        <v/>
      </c>
      <c r="U57" s="591"/>
      <c r="V57" s="589">
        <v>20.2</v>
      </c>
      <c r="W57" s="590">
        <f t="shared" si="6"/>
        <v>26.400000000000002</v>
      </c>
      <c r="X57" s="591">
        <v>46.6</v>
      </c>
      <c r="Y57" s="589"/>
      <c r="Z57" s="588" t="str">
        <f t="shared" si="7"/>
        <v/>
      </c>
      <c r="AA57" s="591">
        <v>202.7</v>
      </c>
      <c r="AB57" s="589"/>
      <c r="AC57" s="590" t="str">
        <f t="shared" si="8"/>
        <v/>
      </c>
      <c r="AD57" s="591"/>
      <c r="AE57" s="589">
        <v>17.100000000000001</v>
      </c>
      <c r="AF57" s="590">
        <f t="shared" si="9"/>
        <v>43.199999999999996</v>
      </c>
      <c r="AG57" s="591">
        <v>60.3</v>
      </c>
      <c r="AH57" s="592">
        <v>449.6</v>
      </c>
      <c r="AI57" s="593">
        <f t="shared" si="10"/>
        <v>457.79999999999995</v>
      </c>
      <c r="AJ57" s="594">
        <v>907.4</v>
      </c>
    </row>
    <row r="58" spans="3:36" x14ac:dyDescent="0.3">
      <c r="C58" s="179">
        <v>40787</v>
      </c>
      <c r="D58" s="578">
        <v>20.8</v>
      </c>
      <c r="E58" s="579">
        <f t="shared" si="0"/>
        <v>88.100000000000009</v>
      </c>
      <c r="F58" s="579">
        <v>108.9</v>
      </c>
      <c r="G58" s="580">
        <v>5</v>
      </c>
      <c r="H58" s="581">
        <f t="shared" si="1"/>
        <v>17</v>
      </c>
      <c r="I58" s="582">
        <v>22</v>
      </c>
      <c r="J58" s="580">
        <v>71.5</v>
      </c>
      <c r="K58" s="581">
        <f t="shared" si="2"/>
        <v>2.0999999999999943</v>
      </c>
      <c r="L58" s="582">
        <v>73.599999999999994</v>
      </c>
      <c r="M58" s="580">
        <v>126.7</v>
      </c>
      <c r="N58" s="581">
        <f t="shared" si="3"/>
        <v>57.499999999999986</v>
      </c>
      <c r="O58" s="582">
        <v>184.2</v>
      </c>
      <c r="P58" s="580">
        <v>208.8</v>
      </c>
      <c r="Q58" s="581">
        <f t="shared" si="4"/>
        <v>25.899999999999977</v>
      </c>
      <c r="R58" s="582">
        <v>234.7</v>
      </c>
      <c r="S58" s="580">
        <v>2.8</v>
      </c>
      <c r="T58" s="581" t="str">
        <f t="shared" si="5"/>
        <v/>
      </c>
      <c r="U58" s="582"/>
      <c r="V58" s="580">
        <v>25.9</v>
      </c>
      <c r="W58" s="581">
        <f t="shared" si="6"/>
        <v>28.1</v>
      </c>
      <c r="X58" s="582">
        <v>54</v>
      </c>
      <c r="Y58" s="580"/>
      <c r="Z58" s="579" t="str">
        <f t="shared" si="7"/>
        <v/>
      </c>
      <c r="AA58" s="582">
        <v>227.4</v>
      </c>
      <c r="AB58" s="580"/>
      <c r="AC58" s="581" t="str">
        <f t="shared" si="8"/>
        <v/>
      </c>
      <c r="AD58" s="582"/>
      <c r="AE58" s="580">
        <v>18.100000000000001</v>
      </c>
      <c r="AF58" s="581">
        <f t="shared" si="9"/>
        <v>44.6</v>
      </c>
      <c r="AG58" s="582">
        <v>62.7</v>
      </c>
      <c r="AH58" s="584">
        <v>481.6</v>
      </c>
      <c r="AI58" s="585">
        <f t="shared" si="10"/>
        <v>501.79999999999995</v>
      </c>
      <c r="AJ58" s="586">
        <v>983.4</v>
      </c>
    </row>
    <row r="59" spans="3:36" x14ac:dyDescent="0.3">
      <c r="C59" s="179">
        <v>40878</v>
      </c>
      <c r="D59" s="587">
        <v>20.399999999999999</v>
      </c>
      <c r="E59" s="588">
        <f t="shared" si="0"/>
        <v>94.199999999999989</v>
      </c>
      <c r="F59" s="588">
        <v>114.6</v>
      </c>
      <c r="G59" s="589">
        <v>3.8</v>
      </c>
      <c r="H59" s="590">
        <f t="shared" si="1"/>
        <v>19.099999999999998</v>
      </c>
      <c r="I59" s="591">
        <v>22.9</v>
      </c>
      <c r="J59" s="589">
        <v>46.6</v>
      </c>
      <c r="K59" s="590">
        <f t="shared" si="2"/>
        <v>2.6999999999999957</v>
      </c>
      <c r="L59" s="591">
        <v>49.3</v>
      </c>
      <c r="M59" s="589">
        <v>141.1</v>
      </c>
      <c r="N59" s="590">
        <f t="shared" si="3"/>
        <v>58.900000000000006</v>
      </c>
      <c r="O59" s="591">
        <v>200</v>
      </c>
      <c r="P59" s="589">
        <v>279.3</v>
      </c>
      <c r="Q59" s="590">
        <f t="shared" si="4"/>
        <v>32.5</v>
      </c>
      <c r="R59" s="591">
        <v>311.8</v>
      </c>
      <c r="S59" s="589">
        <v>2.6</v>
      </c>
      <c r="T59" s="590">
        <f t="shared" si="5"/>
        <v>8.4</v>
      </c>
      <c r="U59" s="591">
        <v>11</v>
      </c>
      <c r="V59" s="589">
        <v>21.3</v>
      </c>
      <c r="W59" s="590">
        <f t="shared" si="6"/>
        <v>24.3</v>
      </c>
      <c r="X59" s="591">
        <v>45.6</v>
      </c>
      <c r="Y59" s="589"/>
      <c r="Z59" s="588" t="str">
        <f t="shared" si="7"/>
        <v/>
      </c>
      <c r="AA59" s="591">
        <v>217.7</v>
      </c>
      <c r="AB59" s="589"/>
      <c r="AC59" s="590" t="str">
        <f t="shared" si="8"/>
        <v/>
      </c>
      <c r="AD59" s="591">
        <v>2.2000000000000002</v>
      </c>
      <c r="AE59" s="589">
        <v>14.7</v>
      </c>
      <c r="AF59" s="590">
        <f t="shared" si="9"/>
        <v>42.5</v>
      </c>
      <c r="AG59" s="591">
        <v>57.2</v>
      </c>
      <c r="AH59" s="592">
        <v>531.9</v>
      </c>
      <c r="AI59" s="593">
        <f t="shared" si="10"/>
        <v>500.50000000000011</v>
      </c>
      <c r="AJ59" s="594">
        <v>1032.4000000000001</v>
      </c>
    </row>
    <row r="60" spans="3:36" x14ac:dyDescent="0.3">
      <c r="C60" s="179">
        <v>40969</v>
      </c>
      <c r="D60" s="578">
        <v>22.1</v>
      </c>
      <c r="E60" s="579">
        <f t="shared" si="0"/>
        <v>76.599999999999994</v>
      </c>
      <c r="F60" s="579">
        <v>98.7</v>
      </c>
      <c r="G60" s="580">
        <v>5.2</v>
      </c>
      <c r="H60" s="581">
        <f t="shared" si="1"/>
        <v>16</v>
      </c>
      <c r="I60" s="582">
        <v>21.2</v>
      </c>
      <c r="J60" s="580">
        <v>62.2</v>
      </c>
      <c r="K60" s="581">
        <f t="shared" si="2"/>
        <v>1.8999999999999915</v>
      </c>
      <c r="L60" s="582">
        <v>64.099999999999994</v>
      </c>
      <c r="M60" s="580">
        <v>128.4</v>
      </c>
      <c r="N60" s="581">
        <f t="shared" si="3"/>
        <v>40.400000000000006</v>
      </c>
      <c r="O60" s="582">
        <v>168.8</v>
      </c>
      <c r="P60" s="580">
        <v>240.4</v>
      </c>
      <c r="Q60" s="581">
        <f t="shared" si="4"/>
        <v>27.499999999999972</v>
      </c>
      <c r="R60" s="582">
        <v>267.89999999999998</v>
      </c>
      <c r="S60" s="580">
        <v>3.1</v>
      </c>
      <c r="T60" s="581">
        <f t="shared" si="5"/>
        <v>6.2000000000000011</v>
      </c>
      <c r="U60" s="582">
        <v>9.3000000000000007</v>
      </c>
      <c r="V60" s="580">
        <v>17.7</v>
      </c>
      <c r="W60" s="581">
        <f t="shared" si="6"/>
        <v>11.600000000000001</v>
      </c>
      <c r="X60" s="582">
        <v>29.3</v>
      </c>
      <c r="Y60" s="580"/>
      <c r="Z60" s="579" t="str">
        <f t="shared" si="7"/>
        <v/>
      </c>
      <c r="AA60" s="582">
        <v>177.5</v>
      </c>
      <c r="AB60" s="580"/>
      <c r="AC60" s="581" t="str">
        <f t="shared" si="8"/>
        <v/>
      </c>
      <c r="AD60" s="582">
        <v>1.1000000000000001</v>
      </c>
      <c r="AE60" s="580">
        <v>10.4</v>
      </c>
      <c r="AF60" s="581">
        <f t="shared" si="9"/>
        <v>27.800000000000004</v>
      </c>
      <c r="AG60" s="582">
        <v>38.200000000000003</v>
      </c>
      <c r="AH60" s="584">
        <v>490.1</v>
      </c>
      <c r="AI60" s="585">
        <f t="shared" si="10"/>
        <v>386</v>
      </c>
      <c r="AJ60" s="586">
        <v>876.1</v>
      </c>
    </row>
    <row r="61" spans="3:36" x14ac:dyDescent="0.3">
      <c r="C61" s="179">
        <v>41061</v>
      </c>
      <c r="D61" s="587">
        <v>28.8</v>
      </c>
      <c r="E61" s="588">
        <f t="shared" si="0"/>
        <v>91.600000000000009</v>
      </c>
      <c r="F61" s="588">
        <v>120.4</v>
      </c>
      <c r="G61" s="589">
        <v>5.4</v>
      </c>
      <c r="H61" s="590">
        <f t="shared" si="1"/>
        <v>15.999999999999998</v>
      </c>
      <c r="I61" s="591">
        <v>21.4</v>
      </c>
      <c r="J61" s="589">
        <v>76.599999999999994</v>
      </c>
      <c r="K61" s="590">
        <f t="shared" si="2"/>
        <v>1.8000000000000114</v>
      </c>
      <c r="L61" s="591">
        <v>78.400000000000006</v>
      </c>
      <c r="M61" s="589">
        <v>161.19999999999999</v>
      </c>
      <c r="N61" s="590">
        <f t="shared" si="3"/>
        <v>53.800000000000011</v>
      </c>
      <c r="O61" s="591">
        <v>215</v>
      </c>
      <c r="P61" s="589">
        <v>297.39999999999998</v>
      </c>
      <c r="Q61" s="590">
        <f t="shared" si="4"/>
        <v>38.800000000000011</v>
      </c>
      <c r="R61" s="591">
        <v>336.2</v>
      </c>
      <c r="S61" s="589">
        <v>4.2</v>
      </c>
      <c r="T61" s="590" t="str">
        <f t="shared" si="5"/>
        <v/>
      </c>
      <c r="U61" s="591"/>
      <c r="V61" s="589">
        <v>13.4</v>
      </c>
      <c r="W61" s="590">
        <f t="shared" si="6"/>
        <v>11.299999999999999</v>
      </c>
      <c r="X61" s="591">
        <v>24.7</v>
      </c>
      <c r="Y61" s="589"/>
      <c r="Z61" s="588" t="str">
        <f t="shared" si="7"/>
        <v/>
      </c>
      <c r="AA61" s="591">
        <v>211.7</v>
      </c>
      <c r="AB61" s="589"/>
      <c r="AC61" s="590" t="str">
        <f t="shared" si="8"/>
        <v/>
      </c>
      <c r="AD61" s="591"/>
      <c r="AE61" s="589">
        <v>14.4</v>
      </c>
      <c r="AF61" s="590">
        <f t="shared" si="9"/>
        <v>26.700000000000003</v>
      </c>
      <c r="AG61" s="591">
        <v>41.1</v>
      </c>
      <c r="AH61" s="592">
        <v>603.20000000000005</v>
      </c>
      <c r="AI61" s="593">
        <f t="shared" si="10"/>
        <v>457.89999999999986</v>
      </c>
      <c r="AJ61" s="594">
        <v>1061.0999999999999</v>
      </c>
    </row>
    <row r="62" spans="3:36" x14ac:dyDescent="0.3">
      <c r="C62" s="179">
        <v>41153</v>
      </c>
      <c r="D62" s="578">
        <v>22.2</v>
      </c>
      <c r="E62" s="579">
        <f t="shared" si="0"/>
        <v>80.3</v>
      </c>
      <c r="F62" s="579">
        <v>102.5</v>
      </c>
      <c r="G62" s="580">
        <v>4.9000000000000004</v>
      </c>
      <c r="H62" s="581">
        <f t="shared" si="1"/>
        <v>16.200000000000003</v>
      </c>
      <c r="I62" s="582">
        <v>21.1</v>
      </c>
      <c r="J62" s="580">
        <v>42.3</v>
      </c>
      <c r="K62" s="581">
        <f t="shared" si="2"/>
        <v>1.6000000000000014</v>
      </c>
      <c r="L62" s="582">
        <v>43.9</v>
      </c>
      <c r="M62" s="580">
        <v>140.30000000000001</v>
      </c>
      <c r="N62" s="581">
        <f t="shared" si="3"/>
        <v>54.099999999999994</v>
      </c>
      <c r="O62" s="582">
        <v>194.4</v>
      </c>
      <c r="P62" s="580">
        <v>248.7</v>
      </c>
      <c r="Q62" s="581">
        <f t="shared" si="4"/>
        <v>31.800000000000011</v>
      </c>
      <c r="R62" s="582">
        <v>280.5</v>
      </c>
      <c r="S62" s="580"/>
      <c r="T62" s="581" t="str">
        <f t="shared" si="5"/>
        <v/>
      </c>
      <c r="U62" s="582">
        <v>10.9</v>
      </c>
      <c r="V62" s="580">
        <v>12</v>
      </c>
      <c r="W62" s="581">
        <f t="shared" si="6"/>
        <v>11.5</v>
      </c>
      <c r="X62" s="582">
        <v>23.5</v>
      </c>
      <c r="Y62" s="580">
        <v>1.1000000000000001</v>
      </c>
      <c r="Z62" s="579">
        <f t="shared" si="7"/>
        <v>169.5</v>
      </c>
      <c r="AA62" s="582">
        <v>170.6</v>
      </c>
      <c r="AB62" s="580"/>
      <c r="AC62" s="581" t="str">
        <f t="shared" si="8"/>
        <v/>
      </c>
      <c r="AD62" s="582">
        <v>1.4</v>
      </c>
      <c r="AE62" s="580">
        <v>12.4</v>
      </c>
      <c r="AF62" s="581">
        <f t="shared" si="9"/>
        <v>33.5</v>
      </c>
      <c r="AG62" s="582">
        <v>45.9</v>
      </c>
      <c r="AH62" s="584">
        <v>488.6</v>
      </c>
      <c r="AI62" s="585">
        <f t="shared" si="10"/>
        <v>406.1</v>
      </c>
      <c r="AJ62" s="586">
        <v>894.7</v>
      </c>
    </row>
    <row r="63" spans="3:36" x14ac:dyDescent="0.3">
      <c r="C63" s="179">
        <v>41244</v>
      </c>
      <c r="D63" s="587">
        <v>20.2</v>
      </c>
      <c r="E63" s="588">
        <f t="shared" si="0"/>
        <v>71.899999999999991</v>
      </c>
      <c r="F63" s="588">
        <v>92.1</v>
      </c>
      <c r="G63" s="589">
        <v>3.9</v>
      </c>
      <c r="H63" s="590">
        <f t="shared" si="1"/>
        <v>15.700000000000001</v>
      </c>
      <c r="I63" s="591">
        <v>19.600000000000001</v>
      </c>
      <c r="J63" s="589">
        <v>47.3</v>
      </c>
      <c r="K63" s="590">
        <f t="shared" si="2"/>
        <v>2</v>
      </c>
      <c r="L63" s="591">
        <v>49.3</v>
      </c>
      <c r="M63" s="589">
        <v>111</v>
      </c>
      <c r="N63" s="590">
        <f t="shared" si="3"/>
        <v>51.699999999999989</v>
      </c>
      <c r="O63" s="591">
        <v>162.69999999999999</v>
      </c>
      <c r="P63" s="589">
        <v>254.3</v>
      </c>
      <c r="Q63" s="590">
        <f t="shared" si="4"/>
        <v>24.099999999999966</v>
      </c>
      <c r="R63" s="591">
        <v>278.39999999999998</v>
      </c>
      <c r="S63" s="589"/>
      <c r="T63" s="590" t="str">
        <f t="shared" si="5"/>
        <v/>
      </c>
      <c r="U63" s="591">
        <v>11</v>
      </c>
      <c r="V63" s="589">
        <v>11.2</v>
      </c>
      <c r="W63" s="590">
        <f t="shared" si="6"/>
        <v>9.6000000000000014</v>
      </c>
      <c r="X63" s="591">
        <v>20.8</v>
      </c>
      <c r="Y63" s="589"/>
      <c r="Z63" s="588" t="str">
        <f t="shared" si="7"/>
        <v/>
      </c>
      <c r="AA63" s="591">
        <v>149.19999999999999</v>
      </c>
      <c r="AB63" s="589"/>
      <c r="AC63" s="590" t="str">
        <f t="shared" si="8"/>
        <v/>
      </c>
      <c r="AD63" s="591">
        <v>1.6</v>
      </c>
      <c r="AE63" s="589">
        <v>14.6</v>
      </c>
      <c r="AF63" s="590">
        <f t="shared" si="9"/>
        <v>24.6</v>
      </c>
      <c r="AG63" s="591">
        <v>39.200000000000003</v>
      </c>
      <c r="AH63" s="592">
        <v>470.7</v>
      </c>
      <c r="AI63" s="593">
        <f t="shared" si="10"/>
        <v>353.2</v>
      </c>
      <c r="AJ63" s="594">
        <v>823.9</v>
      </c>
    </row>
    <row r="64" spans="3:36" x14ac:dyDescent="0.3">
      <c r="C64" s="179">
        <v>41334</v>
      </c>
      <c r="D64" s="578">
        <v>17.5</v>
      </c>
      <c r="E64" s="579">
        <f t="shared" si="0"/>
        <v>43.5</v>
      </c>
      <c r="F64" s="579">
        <v>61</v>
      </c>
      <c r="G64" s="580">
        <v>3.4</v>
      </c>
      <c r="H64" s="581">
        <f t="shared" si="1"/>
        <v>15.1</v>
      </c>
      <c r="I64" s="582">
        <v>18.5</v>
      </c>
      <c r="J64" s="580">
        <v>29.9</v>
      </c>
      <c r="K64" s="581">
        <f t="shared" si="2"/>
        <v>1.1000000000000014</v>
      </c>
      <c r="L64" s="582">
        <v>31</v>
      </c>
      <c r="M64" s="580">
        <v>111.9</v>
      </c>
      <c r="N64" s="581">
        <f t="shared" si="3"/>
        <v>42.799999999999983</v>
      </c>
      <c r="O64" s="582">
        <v>154.69999999999999</v>
      </c>
      <c r="P64" s="580">
        <v>232.5</v>
      </c>
      <c r="Q64" s="581">
        <f t="shared" si="4"/>
        <v>15.699999999999989</v>
      </c>
      <c r="R64" s="582">
        <v>248.2</v>
      </c>
      <c r="S64" s="580"/>
      <c r="T64" s="581" t="str">
        <f t="shared" si="5"/>
        <v/>
      </c>
      <c r="U64" s="582">
        <v>7.2</v>
      </c>
      <c r="V64" s="580">
        <v>6.6</v>
      </c>
      <c r="W64" s="581">
        <f t="shared" si="6"/>
        <v>5.8000000000000007</v>
      </c>
      <c r="X64" s="582">
        <v>12.4</v>
      </c>
      <c r="Y64" s="580">
        <v>4.0999999999999996</v>
      </c>
      <c r="Z64" s="579">
        <f t="shared" si="7"/>
        <v>100.4</v>
      </c>
      <c r="AA64" s="582">
        <v>104.5</v>
      </c>
      <c r="AB64" s="580"/>
      <c r="AC64" s="581" t="str">
        <f t="shared" si="8"/>
        <v/>
      </c>
      <c r="AD64" s="582">
        <v>1.6</v>
      </c>
      <c r="AE64" s="580">
        <v>13.6</v>
      </c>
      <c r="AF64" s="581">
        <f t="shared" si="9"/>
        <v>19.600000000000001</v>
      </c>
      <c r="AG64" s="582">
        <v>33.200000000000003</v>
      </c>
      <c r="AH64" s="584">
        <v>421.8</v>
      </c>
      <c r="AI64" s="585">
        <f t="shared" si="10"/>
        <v>250.40000000000003</v>
      </c>
      <c r="AJ64" s="586">
        <v>672.2</v>
      </c>
    </row>
    <row r="65" spans="3:36" x14ac:dyDescent="0.3">
      <c r="C65" s="179">
        <v>41426</v>
      </c>
      <c r="D65" s="587">
        <v>16.7</v>
      </c>
      <c r="E65" s="588">
        <f t="shared" si="0"/>
        <v>47</v>
      </c>
      <c r="F65" s="588">
        <v>63.7</v>
      </c>
      <c r="G65" s="589">
        <v>4.4000000000000004</v>
      </c>
      <c r="H65" s="590">
        <f t="shared" si="1"/>
        <v>16.200000000000003</v>
      </c>
      <c r="I65" s="591">
        <v>20.6</v>
      </c>
      <c r="J65" s="589">
        <v>37.799999999999997</v>
      </c>
      <c r="K65" s="590">
        <f t="shared" si="2"/>
        <v>2.5</v>
      </c>
      <c r="L65" s="591">
        <v>40.299999999999997</v>
      </c>
      <c r="M65" s="589">
        <v>103.4</v>
      </c>
      <c r="N65" s="590">
        <f t="shared" si="3"/>
        <v>46.599999999999994</v>
      </c>
      <c r="O65" s="591">
        <v>150</v>
      </c>
      <c r="P65" s="589">
        <v>186.3</v>
      </c>
      <c r="Q65" s="590">
        <f t="shared" si="4"/>
        <v>17.899999999999977</v>
      </c>
      <c r="R65" s="591">
        <v>204.2</v>
      </c>
      <c r="S65" s="589">
        <v>3</v>
      </c>
      <c r="T65" s="590">
        <f t="shared" si="5"/>
        <v>5.6999999999999993</v>
      </c>
      <c r="U65" s="591">
        <v>8.6999999999999993</v>
      </c>
      <c r="V65" s="589">
        <v>5.3</v>
      </c>
      <c r="W65" s="590">
        <f t="shared" si="6"/>
        <v>7.5000000000000009</v>
      </c>
      <c r="X65" s="591">
        <v>12.8</v>
      </c>
      <c r="Y65" s="589"/>
      <c r="Z65" s="588" t="str">
        <f t="shared" si="7"/>
        <v/>
      </c>
      <c r="AA65" s="591">
        <v>119.7</v>
      </c>
      <c r="AB65" s="589"/>
      <c r="AC65" s="590" t="str">
        <f t="shared" si="8"/>
        <v/>
      </c>
      <c r="AD65" s="591">
        <v>1.7</v>
      </c>
      <c r="AE65" s="589">
        <v>23.4</v>
      </c>
      <c r="AF65" s="590">
        <f t="shared" si="9"/>
        <v>19.5</v>
      </c>
      <c r="AG65" s="591">
        <v>42.9</v>
      </c>
      <c r="AH65" s="592">
        <v>382.3</v>
      </c>
      <c r="AI65" s="593">
        <f t="shared" si="10"/>
        <v>282.3</v>
      </c>
      <c r="AJ65" s="594">
        <v>664.6</v>
      </c>
    </row>
    <row r="66" spans="3:36" x14ac:dyDescent="0.3">
      <c r="C66" s="179">
        <v>41518</v>
      </c>
      <c r="D66" s="578">
        <v>21.5</v>
      </c>
      <c r="E66" s="579">
        <f t="shared" si="0"/>
        <v>33.1</v>
      </c>
      <c r="F66" s="579">
        <v>54.6</v>
      </c>
      <c r="G66" s="580">
        <v>3.2</v>
      </c>
      <c r="H66" s="581">
        <f t="shared" si="1"/>
        <v>9.8999999999999986</v>
      </c>
      <c r="I66" s="582">
        <v>13.1</v>
      </c>
      <c r="J66" s="580">
        <v>36.700000000000003</v>
      </c>
      <c r="K66" s="581">
        <f t="shared" si="2"/>
        <v>1.0999999999999943</v>
      </c>
      <c r="L66" s="582">
        <v>37.799999999999997</v>
      </c>
      <c r="M66" s="580">
        <v>96.3</v>
      </c>
      <c r="N66" s="581">
        <f t="shared" si="3"/>
        <v>35.899999999999991</v>
      </c>
      <c r="O66" s="582">
        <v>132.19999999999999</v>
      </c>
      <c r="P66" s="580">
        <v>206.1</v>
      </c>
      <c r="Q66" s="581">
        <f t="shared" si="4"/>
        <v>16.099999999999994</v>
      </c>
      <c r="R66" s="582">
        <v>222.2</v>
      </c>
      <c r="S66" s="580">
        <v>4.3</v>
      </c>
      <c r="T66" s="581" t="str">
        <f t="shared" si="5"/>
        <v/>
      </c>
      <c r="U66" s="582"/>
      <c r="V66" s="580">
        <v>6.8</v>
      </c>
      <c r="W66" s="581">
        <f t="shared" si="6"/>
        <v>9.3000000000000007</v>
      </c>
      <c r="X66" s="582">
        <v>16.100000000000001</v>
      </c>
      <c r="Y66" s="580"/>
      <c r="Z66" s="579" t="str">
        <f t="shared" si="7"/>
        <v/>
      </c>
      <c r="AA66" s="582">
        <v>109.6</v>
      </c>
      <c r="AB66" s="580"/>
      <c r="AC66" s="581" t="str">
        <f t="shared" si="8"/>
        <v/>
      </c>
      <c r="AD66" s="582"/>
      <c r="AE66" s="580">
        <v>19.899999999999999</v>
      </c>
      <c r="AF66" s="581">
        <f t="shared" si="9"/>
        <v>20.200000000000003</v>
      </c>
      <c r="AG66" s="582">
        <v>40.1</v>
      </c>
      <c r="AH66" s="584">
        <v>395.8</v>
      </c>
      <c r="AI66" s="585">
        <f t="shared" si="10"/>
        <v>242.59999999999997</v>
      </c>
      <c r="AJ66" s="586">
        <v>638.4</v>
      </c>
    </row>
    <row r="67" spans="3:36" x14ac:dyDescent="0.3">
      <c r="C67" s="179">
        <v>41609</v>
      </c>
      <c r="D67" s="587">
        <v>16.899999999999999</v>
      </c>
      <c r="E67" s="588">
        <f t="shared" si="0"/>
        <v>26.6</v>
      </c>
      <c r="F67" s="588">
        <v>43.5</v>
      </c>
      <c r="G67" s="589">
        <v>4.3</v>
      </c>
      <c r="H67" s="590">
        <f t="shared" si="1"/>
        <v>8</v>
      </c>
      <c r="I67" s="591">
        <v>12.3</v>
      </c>
      <c r="J67" s="589">
        <v>17.899999999999999</v>
      </c>
      <c r="K67" s="590">
        <f t="shared" si="2"/>
        <v>1.3000000000000007</v>
      </c>
      <c r="L67" s="591">
        <v>19.2</v>
      </c>
      <c r="M67" s="589">
        <v>76.2</v>
      </c>
      <c r="N67" s="590">
        <f t="shared" si="3"/>
        <v>40.299999999999997</v>
      </c>
      <c r="O67" s="591">
        <v>116.5</v>
      </c>
      <c r="P67" s="589">
        <v>158.9</v>
      </c>
      <c r="Q67" s="590">
        <f t="shared" si="4"/>
        <v>25.299999999999983</v>
      </c>
      <c r="R67" s="591">
        <v>184.2</v>
      </c>
      <c r="S67" s="589">
        <v>5.6</v>
      </c>
      <c r="T67" s="590">
        <f t="shared" si="5"/>
        <v>2.5</v>
      </c>
      <c r="U67" s="591">
        <v>8.1</v>
      </c>
      <c r="V67" s="589">
        <v>5.4</v>
      </c>
      <c r="W67" s="590">
        <f t="shared" si="6"/>
        <v>5.6</v>
      </c>
      <c r="X67" s="591">
        <v>11</v>
      </c>
      <c r="Y67" s="589"/>
      <c r="Z67" s="588" t="str">
        <f t="shared" si="7"/>
        <v/>
      </c>
      <c r="AA67" s="591">
        <v>106.4</v>
      </c>
      <c r="AB67" s="589"/>
      <c r="AC67" s="590" t="str">
        <f t="shared" si="8"/>
        <v/>
      </c>
      <c r="AD67" s="591">
        <v>3.1</v>
      </c>
      <c r="AE67" s="589">
        <v>17.600000000000001</v>
      </c>
      <c r="AF67" s="590">
        <f t="shared" si="9"/>
        <v>25.4</v>
      </c>
      <c r="AG67" s="591">
        <v>43</v>
      </c>
      <c r="AH67" s="592">
        <v>308.3</v>
      </c>
      <c r="AI67" s="593">
        <f t="shared" si="10"/>
        <v>239.09999999999997</v>
      </c>
      <c r="AJ67" s="594">
        <v>547.4</v>
      </c>
    </row>
    <row r="68" spans="3:36" x14ac:dyDescent="0.3">
      <c r="C68" s="179">
        <v>41699</v>
      </c>
      <c r="D68" s="578">
        <v>6.6</v>
      </c>
      <c r="E68" s="579">
        <f t="shared" si="0"/>
        <v>29.6</v>
      </c>
      <c r="F68" s="579">
        <v>36.200000000000003</v>
      </c>
      <c r="G68" s="580">
        <v>2.9</v>
      </c>
      <c r="H68" s="581">
        <f t="shared" si="1"/>
        <v>7.1999999999999993</v>
      </c>
      <c r="I68" s="582">
        <v>10.1</v>
      </c>
      <c r="J68" s="580">
        <v>15.5</v>
      </c>
      <c r="K68" s="581">
        <f t="shared" si="2"/>
        <v>1.3000000000000007</v>
      </c>
      <c r="L68" s="582">
        <v>16.8</v>
      </c>
      <c r="M68" s="580">
        <v>56.2</v>
      </c>
      <c r="N68" s="581">
        <f t="shared" si="3"/>
        <v>25.5</v>
      </c>
      <c r="O68" s="582">
        <v>81.7</v>
      </c>
      <c r="P68" s="580">
        <v>102.1</v>
      </c>
      <c r="Q68" s="581">
        <f t="shared" si="4"/>
        <v>13.100000000000009</v>
      </c>
      <c r="R68" s="582">
        <v>115.2</v>
      </c>
      <c r="S68" s="580">
        <v>3.7</v>
      </c>
      <c r="T68" s="581">
        <f t="shared" si="5"/>
        <v>2.8</v>
      </c>
      <c r="U68" s="582">
        <v>6.5</v>
      </c>
      <c r="V68" s="580">
        <v>3.7</v>
      </c>
      <c r="W68" s="581">
        <f t="shared" si="6"/>
        <v>2.7</v>
      </c>
      <c r="X68" s="582">
        <v>6.4</v>
      </c>
      <c r="Y68" s="580"/>
      <c r="Z68" s="579" t="str">
        <f t="shared" si="7"/>
        <v/>
      </c>
      <c r="AA68" s="582">
        <v>101.8</v>
      </c>
      <c r="AB68" s="580"/>
      <c r="AC68" s="581" t="str">
        <f t="shared" si="8"/>
        <v/>
      </c>
      <c r="AD68" s="582">
        <v>2.5</v>
      </c>
      <c r="AE68" s="580">
        <v>13.4</v>
      </c>
      <c r="AF68" s="581">
        <f t="shared" si="9"/>
        <v>17.100000000000001</v>
      </c>
      <c r="AG68" s="582">
        <v>30.5</v>
      </c>
      <c r="AH68" s="584">
        <v>206.2</v>
      </c>
      <c r="AI68" s="585">
        <f t="shared" si="10"/>
        <v>201.40000000000003</v>
      </c>
      <c r="AJ68" s="586">
        <v>407.6</v>
      </c>
    </row>
    <row r="69" spans="3:36" x14ac:dyDescent="0.3">
      <c r="C69" s="179">
        <v>41791</v>
      </c>
      <c r="D69" s="587">
        <v>13.3</v>
      </c>
      <c r="E69" s="588">
        <f t="shared" si="0"/>
        <v>29.2</v>
      </c>
      <c r="F69" s="588">
        <v>42.5</v>
      </c>
      <c r="G69" s="589">
        <v>3.5</v>
      </c>
      <c r="H69" s="590">
        <f t="shared" si="1"/>
        <v>6.8000000000000007</v>
      </c>
      <c r="I69" s="591">
        <v>10.3</v>
      </c>
      <c r="J69" s="589">
        <v>24.8</v>
      </c>
      <c r="K69" s="590">
        <f t="shared" si="2"/>
        <v>0.80000000000000071</v>
      </c>
      <c r="L69" s="591">
        <v>25.6</v>
      </c>
      <c r="M69" s="589">
        <v>66.599999999999994</v>
      </c>
      <c r="N69" s="590">
        <f t="shared" si="3"/>
        <v>37.300000000000011</v>
      </c>
      <c r="O69" s="591">
        <v>103.9</v>
      </c>
      <c r="P69" s="589">
        <v>167.3</v>
      </c>
      <c r="Q69" s="590">
        <f t="shared" si="4"/>
        <v>21.699999999999989</v>
      </c>
      <c r="R69" s="591">
        <v>189</v>
      </c>
      <c r="S69" s="589">
        <v>2.8</v>
      </c>
      <c r="T69" s="590">
        <f t="shared" si="5"/>
        <v>3.7</v>
      </c>
      <c r="U69" s="591">
        <v>6.5</v>
      </c>
      <c r="V69" s="589">
        <v>6.7</v>
      </c>
      <c r="W69" s="590">
        <f t="shared" si="6"/>
        <v>3.7</v>
      </c>
      <c r="X69" s="591">
        <v>10.4</v>
      </c>
      <c r="Y69" s="589"/>
      <c r="Z69" s="588" t="str">
        <f t="shared" si="7"/>
        <v/>
      </c>
      <c r="AA69" s="591">
        <v>80.900000000000006</v>
      </c>
      <c r="AB69" s="589"/>
      <c r="AC69" s="590" t="str">
        <f t="shared" si="8"/>
        <v/>
      </c>
      <c r="AD69" s="591">
        <v>2.7</v>
      </c>
      <c r="AE69" s="589">
        <v>22.4</v>
      </c>
      <c r="AF69" s="590">
        <f t="shared" si="9"/>
        <v>20.399999999999999</v>
      </c>
      <c r="AG69" s="591">
        <v>42.8</v>
      </c>
      <c r="AH69" s="592">
        <v>309.7</v>
      </c>
      <c r="AI69" s="593">
        <f t="shared" si="10"/>
        <v>205.3</v>
      </c>
      <c r="AJ69" s="594">
        <v>515</v>
      </c>
    </row>
    <row r="70" spans="3:36" x14ac:dyDescent="0.3">
      <c r="C70" s="179">
        <v>41883</v>
      </c>
      <c r="D70" s="578">
        <v>13.6</v>
      </c>
      <c r="E70" s="579">
        <f t="shared" si="0"/>
        <v>30.6</v>
      </c>
      <c r="F70" s="579">
        <v>44.2</v>
      </c>
      <c r="G70" s="580">
        <v>3.9</v>
      </c>
      <c r="H70" s="581">
        <f t="shared" si="1"/>
        <v>9.1999999999999993</v>
      </c>
      <c r="I70" s="582">
        <v>13.1</v>
      </c>
      <c r="J70" s="580">
        <v>23.8</v>
      </c>
      <c r="K70" s="581">
        <f t="shared" si="2"/>
        <v>0.5</v>
      </c>
      <c r="L70" s="582">
        <v>24.3</v>
      </c>
      <c r="M70" s="580">
        <v>61.9</v>
      </c>
      <c r="N70" s="581">
        <f t="shared" si="3"/>
        <v>28.1</v>
      </c>
      <c r="O70" s="582">
        <v>90</v>
      </c>
      <c r="P70" s="580">
        <v>130.30000000000001</v>
      </c>
      <c r="Q70" s="581">
        <f t="shared" si="4"/>
        <v>12.599999999999994</v>
      </c>
      <c r="R70" s="582">
        <v>142.9</v>
      </c>
      <c r="S70" s="580">
        <v>6.3</v>
      </c>
      <c r="T70" s="581">
        <f t="shared" si="5"/>
        <v>4.3999999999999995</v>
      </c>
      <c r="U70" s="582">
        <v>10.7</v>
      </c>
      <c r="V70" s="580">
        <v>4.7</v>
      </c>
      <c r="W70" s="581">
        <f t="shared" si="6"/>
        <v>5.2</v>
      </c>
      <c r="X70" s="582">
        <v>9.9</v>
      </c>
      <c r="Y70" s="580">
        <v>0.6</v>
      </c>
      <c r="Z70" s="579">
        <f t="shared" si="7"/>
        <v>79.7</v>
      </c>
      <c r="AA70" s="582">
        <v>80.3</v>
      </c>
      <c r="AB70" s="580">
        <v>1</v>
      </c>
      <c r="AC70" s="581">
        <f t="shared" si="8"/>
        <v>0.8</v>
      </c>
      <c r="AD70" s="582">
        <v>1.8</v>
      </c>
      <c r="AE70" s="580">
        <v>21.1</v>
      </c>
      <c r="AF70" s="581">
        <f t="shared" si="9"/>
        <v>16.899999999999999</v>
      </c>
      <c r="AG70" s="582">
        <v>38</v>
      </c>
      <c r="AH70" s="584">
        <v>267.10000000000002</v>
      </c>
      <c r="AI70" s="585">
        <f t="shared" si="10"/>
        <v>190.59999999999997</v>
      </c>
      <c r="AJ70" s="586">
        <v>457.7</v>
      </c>
    </row>
    <row r="71" spans="3:36" x14ac:dyDescent="0.3">
      <c r="C71" s="179">
        <v>41974</v>
      </c>
      <c r="D71" s="587">
        <v>9.6</v>
      </c>
      <c r="E71" s="588">
        <f t="shared" si="0"/>
        <v>31.199999999999996</v>
      </c>
      <c r="F71" s="588">
        <v>40.799999999999997</v>
      </c>
      <c r="G71" s="589">
        <v>4.9000000000000004</v>
      </c>
      <c r="H71" s="590">
        <f t="shared" si="1"/>
        <v>11.999999999999998</v>
      </c>
      <c r="I71" s="591">
        <v>16.899999999999999</v>
      </c>
      <c r="J71" s="589">
        <v>21</v>
      </c>
      <c r="K71" s="590">
        <f t="shared" si="2"/>
        <v>1.5</v>
      </c>
      <c r="L71" s="591">
        <v>22.5</v>
      </c>
      <c r="M71" s="589">
        <v>64</v>
      </c>
      <c r="N71" s="590">
        <f t="shared" si="3"/>
        <v>37.700000000000003</v>
      </c>
      <c r="O71" s="591">
        <v>101.7</v>
      </c>
      <c r="P71" s="589">
        <v>131.5</v>
      </c>
      <c r="Q71" s="590">
        <f t="shared" si="4"/>
        <v>13.599999999999994</v>
      </c>
      <c r="R71" s="591">
        <v>145.1</v>
      </c>
      <c r="S71" s="589">
        <v>2</v>
      </c>
      <c r="T71" s="590">
        <f t="shared" si="5"/>
        <v>2.4000000000000004</v>
      </c>
      <c r="U71" s="591">
        <v>4.4000000000000004</v>
      </c>
      <c r="V71" s="589">
        <v>9</v>
      </c>
      <c r="W71" s="590">
        <f t="shared" si="6"/>
        <v>3.8000000000000007</v>
      </c>
      <c r="X71" s="591">
        <v>12.8</v>
      </c>
      <c r="Y71" s="589"/>
      <c r="Z71" s="588" t="str">
        <f t="shared" si="7"/>
        <v/>
      </c>
      <c r="AA71" s="591">
        <v>78</v>
      </c>
      <c r="AB71" s="589"/>
      <c r="AC71" s="590" t="str">
        <f t="shared" si="8"/>
        <v/>
      </c>
      <c r="AD71" s="591">
        <v>1.5</v>
      </c>
      <c r="AE71" s="589">
        <v>17.899999999999999</v>
      </c>
      <c r="AF71" s="590">
        <f t="shared" si="9"/>
        <v>17.700000000000003</v>
      </c>
      <c r="AG71" s="591">
        <v>35.6</v>
      </c>
      <c r="AH71" s="592">
        <v>262.3</v>
      </c>
      <c r="AI71" s="593">
        <f t="shared" si="10"/>
        <v>196.89999999999998</v>
      </c>
      <c r="AJ71" s="594">
        <v>459.2</v>
      </c>
    </row>
    <row r="72" spans="3:36" x14ac:dyDescent="0.3">
      <c r="C72" s="179">
        <v>42064</v>
      </c>
      <c r="D72" s="578">
        <v>4.5999999999999996</v>
      </c>
      <c r="E72" s="579">
        <f t="shared" si="0"/>
        <v>26.700000000000003</v>
      </c>
      <c r="F72" s="579">
        <v>31.3</v>
      </c>
      <c r="G72" s="580">
        <v>2.2000000000000002</v>
      </c>
      <c r="H72" s="581">
        <f t="shared" si="1"/>
        <v>6.4999999999999991</v>
      </c>
      <c r="I72" s="582">
        <v>8.6999999999999993</v>
      </c>
      <c r="J72" s="580">
        <v>18.100000000000001</v>
      </c>
      <c r="K72" s="581">
        <f t="shared" si="2"/>
        <v>1.0999999999999979</v>
      </c>
      <c r="L72" s="582">
        <v>19.2</v>
      </c>
      <c r="M72" s="580">
        <v>67.400000000000006</v>
      </c>
      <c r="N72" s="581">
        <f t="shared" si="3"/>
        <v>24.199999999999989</v>
      </c>
      <c r="O72" s="582">
        <v>91.6</v>
      </c>
      <c r="P72" s="580">
        <v>70</v>
      </c>
      <c r="Q72" s="581">
        <f t="shared" si="4"/>
        <v>12.5</v>
      </c>
      <c r="R72" s="582">
        <v>82.5</v>
      </c>
      <c r="S72" s="580">
        <v>3</v>
      </c>
      <c r="T72" s="581">
        <f t="shared" si="5"/>
        <v>3.2</v>
      </c>
      <c r="U72" s="582">
        <v>6.2</v>
      </c>
      <c r="V72" s="580">
        <v>5.9</v>
      </c>
      <c r="W72" s="581">
        <f t="shared" si="6"/>
        <v>1.5999999999999996</v>
      </c>
      <c r="X72" s="582">
        <v>7.5</v>
      </c>
      <c r="Y72" s="580"/>
      <c r="Z72" s="579" t="str">
        <f t="shared" si="7"/>
        <v/>
      </c>
      <c r="AA72" s="582">
        <v>43.4</v>
      </c>
      <c r="AB72" s="580"/>
      <c r="AC72" s="581" t="str">
        <f t="shared" si="8"/>
        <v/>
      </c>
      <c r="AD72" s="582">
        <v>0.9</v>
      </c>
      <c r="AE72" s="580">
        <v>11.2</v>
      </c>
      <c r="AF72" s="581">
        <f t="shared" si="9"/>
        <v>14.8</v>
      </c>
      <c r="AG72" s="582">
        <v>26</v>
      </c>
      <c r="AH72" s="584">
        <v>183.2</v>
      </c>
      <c r="AI72" s="585">
        <f t="shared" si="10"/>
        <v>134.5</v>
      </c>
      <c r="AJ72" s="586">
        <v>317.7</v>
      </c>
    </row>
    <row r="73" spans="3:36" x14ac:dyDescent="0.3">
      <c r="C73" s="179">
        <v>42156</v>
      </c>
      <c r="D73" s="587">
        <v>5.7</v>
      </c>
      <c r="E73" s="588">
        <f t="shared" si="0"/>
        <v>22.400000000000002</v>
      </c>
      <c r="F73" s="588">
        <v>28.1</v>
      </c>
      <c r="G73" s="589">
        <v>4.3</v>
      </c>
      <c r="H73" s="590">
        <f t="shared" si="1"/>
        <v>8.8999999999999986</v>
      </c>
      <c r="I73" s="591">
        <v>13.2</v>
      </c>
      <c r="J73" s="589">
        <v>15.6</v>
      </c>
      <c r="K73" s="590">
        <f t="shared" si="2"/>
        <v>1.0999999999999996</v>
      </c>
      <c r="L73" s="591">
        <v>16.7</v>
      </c>
      <c r="M73" s="589">
        <v>81</v>
      </c>
      <c r="N73" s="590">
        <f t="shared" si="3"/>
        <v>31.400000000000006</v>
      </c>
      <c r="O73" s="591">
        <v>112.4</v>
      </c>
      <c r="P73" s="589">
        <v>74.400000000000006</v>
      </c>
      <c r="Q73" s="590">
        <f t="shared" si="4"/>
        <v>2.7999999999999972</v>
      </c>
      <c r="R73" s="591">
        <v>77.2</v>
      </c>
      <c r="S73" s="589">
        <v>2.8</v>
      </c>
      <c r="T73" s="590">
        <f t="shared" si="5"/>
        <v>3</v>
      </c>
      <c r="U73" s="591">
        <v>5.8</v>
      </c>
      <c r="V73" s="589">
        <v>6.8</v>
      </c>
      <c r="W73" s="590">
        <f t="shared" si="6"/>
        <v>3.6000000000000005</v>
      </c>
      <c r="X73" s="591">
        <v>10.4</v>
      </c>
      <c r="Y73" s="589"/>
      <c r="Z73" s="588" t="str">
        <f t="shared" si="7"/>
        <v/>
      </c>
      <c r="AA73" s="591">
        <v>50.1</v>
      </c>
      <c r="AB73" s="589"/>
      <c r="AC73" s="590" t="str">
        <f t="shared" si="8"/>
        <v/>
      </c>
      <c r="AD73" s="591">
        <v>1.2</v>
      </c>
      <c r="AE73" s="589">
        <v>13.6</v>
      </c>
      <c r="AF73" s="590">
        <f t="shared" si="9"/>
        <v>15.9</v>
      </c>
      <c r="AG73" s="591">
        <v>29.5</v>
      </c>
      <c r="AH73" s="592">
        <v>204.8</v>
      </c>
      <c r="AI73" s="593">
        <f t="shared" si="10"/>
        <v>139.30000000000001</v>
      </c>
      <c r="AJ73" s="594">
        <v>344.1</v>
      </c>
    </row>
    <row r="74" spans="3:36" x14ac:dyDescent="0.3">
      <c r="C74" s="179">
        <v>42248</v>
      </c>
      <c r="D74" s="578">
        <v>8.4</v>
      </c>
      <c r="E74" s="579">
        <f t="shared" ref="E74:E109" si="11">IF(OR(ISBLANK(F74), ISBLANK(D74)), "", F74-D74)</f>
        <v>21.799999999999997</v>
      </c>
      <c r="F74" s="579">
        <v>30.2</v>
      </c>
      <c r="G74" s="580">
        <v>3.3</v>
      </c>
      <c r="H74" s="581">
        <f t="shared" ref="H74:H109" si="12">IF(OR(ISBLANK(I74), ISBLANK(G74)), "", I74-G74)</f>
        <v>13.099999999999998</v>
      </c>
      <c r="I74" s="582">
        <v>16.399999999999999</v>
      </c>
      <c r="J74" s="580">
        <v>13.9</v>
      </c>
      <c r="K74" s="581">
        <f t="shared" ref="K74:K109" si="13">IF(OR(ISBLANK(L74), ISBLANK(J74)), "", L74-J74)</f>
        <v>0.79999999999999893</v>
      </c>
      <c r="L74" s="582">
        <v>14.7</v>
      </c>
      <c r="M74" s="580">
        <v>94.8</v>
      </c>
      <c r="N74" s="581">
        <f t="shared" ref="N74:N109" si="14">IF(OR(ISBLANK(O74), ISBLANK(M74)), "", O74-M74)</f>
        <v>38.899999999999991</v>
      </c>
      <c r="O74" s="582">
        <v>133.69999999999999</v>
      </c>
      <c r="P74" s="580">
        <v>79.099999999999994</v>
      </c>
      <c r="Q74" s="581">
        <f t="shared" ref="Q74:Q109" si="15">IF(OR(ISBLANK(R74), ISBLANK(P74)), "", R74-P74)</f>
        <v>3.1000000000000085</v>
      </c>
      <c r="R74" s="582">
        <v>82.2</v>
      </c>
      <c r="S74" s="580">
        <v>3.5</v>
      </c>
      <c r="T74" s="581">
        <f t="shared" ref="T74:T109" si="16">IF(OR(ISBLANK(U74), ISBLANK(S74)), "", U74-S74)</f>
        <v>3.0999999999999996</v>
      </c>
      <c r="U74" s="582">
        <v>6.6</v>
      </c>
      <c r="V74" s="580">
        <v>8.5</v>
      </c>
      <c r="W74" s="581">
        <f t="shared" ref="W74:W109" si="17">IF(OR(ISBLANK(X74), ISBLANK(V74)), "", X74-V74)</f>
        <v>6.9</v>
      </c>
      <c r="X74" s="582">
        <v>15.4</v>
      </c>
      <c r="Y74" s="580"/>
      <c r="Z74" s="579" t="str">
        <f t="shared" ref="Z74:Z109" si="18">IF(OR(ISBLANK(AA74), ISBLANK(Y74)), "", AA74-Y74)</f>
        <v/>
      </c>
      <c r="AA74" s="582">
        <v>56.3</v>
      </c>
      <c r="AB74" s="580"/>
      <c r="AC74" s="581" t="str">
        <f t="shared" ref="AC74:AC109" si="19">IF(OR(ISBLANK(AD74), ISBLANK(AB74)), "", AD74-AB74)</f>
        <v/>
      </c>
      <c r="AD74" s="582">
        <v>1.6</v>
      </c>
      <c r="AE74" s="580">
        <v>20.100000000000001</v>
      </c>
      <c r="AF74" s="581">
        <f t="shared" ref="AF74:AF109" si="20">IF(OR(ISBLANK(AG74), ISBLANK(AE74)), "", AG74-AE74)</f>
        <v>16.5</v>
      </c>
      <c r="AG74" s="582">
        <v>36.6</v>
      </c>
      <c r="AH74" s="584">
        <v>233.1</v>
      </c>
      <c r="AI74" s="585">
        <f t="shared" ref="AI74:AI109" si="21">IF(OR(ISBLANK(AJ74), ISBLANK(AH74)), "", AJ74-AH74)</f>
        <v>160.9</v>
      </c>
      <c r="AJ74" s="586">
        <v>394</v>
      </c>
    </row>
    <row r="75" spans="3:36" x14ac:dyDescent="0.3">
      <c r="C75" s="179">
        <v>42339</v>
      </c>
      <c r="D75" s="587">
        <v>9</v>
      </c>
      <c r="E75" s="588">
        <f t="shared" si="11"/>
        <v>22.4</v>
      </c>
      <c r="F75" s="588">
        <v>31.4</v>
      </c>
      <c r="G75" s="589">
        <v>3.2</v>
      </c>
      <c r="H75" s="590">
        <f t="shared" si="12"/>
        <v>9.1000000000000014</v>
      </c>
      <c r="I75" s="591">
        <v>12.3</v>
      </c>
      <c r="J75" s="589">
        <v>13.5</v>
      </c>
      <c r="K75" s="590">
        <f t="shared" si="13"/>
        <v>1.0999999999999996</v>
      </c>
      <c r="L75" s="591">
        <v>14.6</v>
      </c>
      <c r="M75" s="589">
        <v>95.6</v>
      </c>
      <c r="N75" s="590">
        <f t="shared" si="14"/>
        <v>42.599999999999994</v>
      </c>
      <c r="O75" s="591">
        <v>138.19999999999999</v>
      </c>
      <c r="P75" s="589">
        <v>71.8</v>
      </c>
      <c r="Q75" s="590">
        <f t="shared" si="15"/>
        <v>2.7000000000000028</v>
      </c>
      <c r="R75" s="591">
        <v>74.5</v>
      </c>
      <c r="S75" s="589">
        <v>2.9</v>
      </c>
      <c r="T75" s="590">
        <f t="shared" si="16"/>
        <v>2.4</v>
      </c>
      <c r="U75" s="591">
        <v>5.3</v>
      </c>
      <c r="V75" s="589">
        <v>8.4</v>
      </c>
      <c r="W75" s="590">
        <f t="shared" si="17"/>
        <v>2.2999999999999989</v>
      </c>
      <c r="X75" s="591">
        <v>10.7</v>
      </c>
      <c r="Y75" s="589"/>
      <c r="Z75" s="588" t="str">
        <f t="shared" si="18"/>
        <v/>
      </c>
      <c r="AA75" s="591">
        <v>63.4</v>
      </c>
      <c r="AB75" s="589"/>
      <c r="AC75" s="590" t="str">
        <f t="shared" si="19"/>
        <v/>
      </c>
      <c r="AD75" s="591">
        <v>1.5</v>
      </c>
      <c r="AE75" s="589">
        <v>15.4</v>
      </c>
      <c r="AF75" s="590">
        <f t="shared" si="20"/>
        <v>14.1</v>
      </c>
      <c r="AG75" s="591">
        <v>29.5</v>
      </c>
      <c r="AH75" s="592">
        <v>222.6</v>
      </c>
      <c r="AI75" s="593">
        <f t="shared" si="21"/>
        <v>160.20000000000002</v>
      </c>
      <c r="AJ75" s="594">
        <v>382.8</v>
      </c>
    </row>
    <row r="76" spans="3:36" x14ac:dyDescent="0.3">
      <c r="C76" s="179">
        <v>42430</v>
      </c>
      <c r="D76" s="578">
        <v>13.7</v>
      </c>
      <c r="E76" s="579">
        <f t="shared" si="11"/>
        <v>22.900000000000002</v>
      </c>
      <c r="F76" s="579">
        <v>36.6</v>
      </c>
      <c r="G76" s="580">
        <v>2.1</v>
      </c>
      <c r="H76" s="581">
        <f t="shared" si="12"/>
        <v>7.1</v>
      </c>
      <c r="I76" s="582">
        <v>9.1999999999999993</v>
      </c>
      <c r="J76" s="580">
        <v>10.199999999999999</v>
      </c>
      <c r="K76" s="581">
        <f t="shared" si="13"/>
        <v>0.5</v>
      </c>
      <c r="L76" s="582">
        <v>10.7</v>
      </c>
      <c r="M76" s="580">
        <v>84.9</v>
      </c>
      <c r="N76" s="581">
        <f t="shared" si="14"/>
        <v>34.399999999999991</v>
      </c>
      <c r="O76" s="582">
        <v>119.3</v>
      </c>
      <c r="P76" s="580">
        <v>55.2</v>
      </c>
      <c r="Q76" s="581">
        <f t="shared" si="15"/>
        <v>2.5</v>
      </c>
      <c r="R76" s="582">
        <v>57.7</v>
      </c>
      <c r="S76" s="580">
        <v>1.7</v>
      </c>
      <c r="T76" s="581">
        <f t="shared" si="16"/>
        <v>2.3999999999999995</v>
      </c>
      <c r="U76" s="582">
        <v>4.0999999999999996</v>
      </c>
      <c r="V76" s="580">
        <v>6.8</v>
      </c>
      <c r="W76" s="581">
        <f t="shared" si="17"/>
        <v>1.1000000000000005</v>
      </c>
      <c r="X76" s="582">
        <v>7.9</v>
      </c>
      <c r="Y76" s="580"/>
      <c r="Z76" s="579" t="str">
        <f t="shared" si="18"/>
        <v/>
      </c>
      <c r="AA76" s="582">
        <v>23.4</v>
      </c>
      <c r="AB76" s="580"/>
      <c r="AC76" s="581" t="str">
        <f t="shared" si="19"/>
        <v/>
      </c>
      <c r="AD76" s="582">
        <v>0.3</v>
      </c>
      <c r="AE76" s="580">
        <v>11.2</v>
      </c>
      <c r="AF76" s="581">
        <f t="shared" si="20"/>
        <v>9.3000000000000007</v>
      </c>
      <c r="AG76" s="582">
        <v>20.5</v>
      </c>
      <c r="AH76" s="584">
        <v>187.1</v>
      </c>
      <c r="AI76" s="585">
        <f t="shared" si="21"/>
        <v>103.29999999999998</v>
      </c>
      <c r="AJ76" s="586">
        <v>290.39999999999998</v>
      </c>
    </row>
    <row r="77" spans="3:36" x14ac:dyDescent="0.3">
      <c r="C77" s="179">
        <v>42522</v>
      </c>
      <c r="D77" s="587">
        <v>10.3</v>
      </c>
      <c r="E77" s="588">
        <f t="shared" si="11"/>
        <v>21.900000000000002</v>
      </c>
      <c r="F77" s="588">
        <v>32.200000000000003</v>
      </c>
      <c r="G77" s="589">
        <v>2.5</v>
      </c>
      <c r="H77" s="590">
        <f t="shared" si="12"/>
        <v>9.5</v>
      </c>
      <c r="I77" s="591">
        <v>12</v>
      </c>
      <c r="J77" s="589">
        <v>9.1999999999999993</v>
      </c>
      <c r="K77" s="590">
        <f t="shared" si="13"/>
        <v>1.4000000000000004</v>
      </c>
      <c r="L77" s="591">
        <v>10.6</v>
      </c>
      <c r="M77" s="589">
        <v>110.6</v>
      </c>
      <c r="N77" s="590">
        <f t="shared" si="14"/>
        <v>46.300000000000011</v>
      </c>
      <c r="O77" s="591">
        <v>156.9</v>
      </c>
      <c r="P77" s="589">
        <v>74.2</v>
      </c>
      <c r="Q77" s="590">
        <f t="shared" si="15"/>
        <v>2.5999999999999943</v>
      </c>
      <c r="R77" s="591">
        <v>76.8</v>
      </c>
      <c r="S77" s="589">
        <v>1.9</v>
      </c>
      <c r="T77" s="590">
        <f t="shared" si="16"/>
        <v>2.1</v>
      </c>
      <c r="U77" s="591">
        <v>4</v>
      </c>
      <c r="V77" s="589">
        <v>2.2999999999999998</v>
      </c>
      <c r="W77" s="590">
        <f t="shared" si="17"/>
        <v>2</v>
      </c>
      <c r="X77" s="591">
        <v>4.3</v>
      </c>
      <c r="Y77" s="589"/>
      <c r="Z77" s="588" t="str">
        <f t="shared" si="18"/>
        <v/>
      </c>
      <c r="AA77" s="591">
        <v>30.3</v>
      </c>
      <c r="AB77" s="589"/>
      <c r="AC77" s="590" t="str">
        <f t="shared" si="19"/>
        <v/>
      </c>
      <c r="AD77" s="591">
        <v>0.9</v>
      </c>
      <c r="AE77" s="589">
        <v>15.3</v>
      </c>
      <c r="AF77" s="590">
        <f t="shared" si="20"/>
        <v>10.7</v>
      </c>
      <c r="AG77" s="591">
        <v>26</v>
      </c>
      <c r="AH77" s="592">
        <v>228.2</v>
      </c>
      <c r="AI77" s="593">
        <f t="shared" si="21"/>
        <v>125.69999999999999</v>
      </c>
      <c r="AJ77" s="594">
        <v>353.9</v>
      </c>
    </row>
    <row r="78" spans="3:36" x14ac:dyDescent="0.3">
      <c r="C78" s="179">
        <v>42614</v>
      </c>
      <c r="D78" s="578">
        <v>12.8</v>
      </c>
      <c r="E78" s="579">
        <f t="shared" si="11"/>
        <v>21.999999999999996</v>
      </c>
      <c r="F78" s="579">
        <v>34.799999999999997</v>
      </c>
      <c r="G78" s="580">
        <v>2.9</v>
      </c>
      <c r="H78" s="581">
        <f t="shared" si="12"/>
        <v>9</v>
      </c>
      <c r="I78" s="582">
        <v>11.9</v>
      </c>
      <c r="J78" s="580">
        <v>10.5</v>
      </c>
      <c r="K78" s="581">
        <f t="shared" si="13"/>
        <v>1.8000000000000007</v>
      </c>
      <c r="L78" s="582">
        <v>12.3</v>
      </c>
      <c r="M78" s="580">
        <v>117.8</v>
      </c>
      <c r="N78" s="581">
        <f t="shared" si="14"/>
        <v>41.3</v>
      </c>
      <c r="O78" s="582">
        <v>159.1</v>
      </c>
      <c r="P78" s="580">
        <v>77.8</v>
      </c>
      <c r="Q78" s="581">
        <f t="shared" si="15"/>
        <v>2</v>
      </c>
      <c r="R78" s="582">
        <v>79.8</v>
      </c>
      <c r="S78" s="580">
        <v>3.7</v>
      </c>
      <c r="T78" s="581">
        <f t="shared" si="16"/>
        <v>2.5</v>
      </c>
      <c r="U78" s="582">
        <v>6.2</v>
      </c>
      <c r="V78" s="580">
        <v>1.4</v>
      </c>
      <c r="W78" s="581">
        <f t="shared" si="17"/>
        <v>3.5000000000000004</v>
      </c>
      <c r="X78" s="582">
        <v>4.9000000000000004</v>
      </c>
      <c r="Y78" s="580"/>
      <c r="Z78" s="579" t="str">
        <f t="shared" si="18"/>
        <v/>
      </c>
      <c r="AA78" s="582">
        <v>37.200000000000003</v>
      </c>
      <c r="AB78" s="580"/>
      <c r="AC78" s="581" t="str">
        <f t="shared" si="19"/>
        <v/>
      </c>
      <c r="AD78" s="582">
        <v>0.2</v>
      </c>
      <c r="AE78" s="580">
        <v>20.6</v>
      </c>
      <c r="AF78" s="581">
        <f t="shared" si="20"/>
        <v>12.399999999999999</v>
      </c>
      <c r="AG78" s="582">
        <v>33</v>
      </c>
      <c r="AH78" s="584">
        <v>248.8</v>
      </c>
      <c r="AI78" s="585">
        <f t="shared" si="21"/>
        <v>130.69999999999999</v>
      </c>
      <c r="AJ78" s="586">
        <v>379.5</v>
      </c>
    </row>
    <row r="79" spans="3:36" x14ac:dyDescent="0.3">
      <c r="C79" s="179">
        <v>42705</v>
      </c>
      <c r="D79" s="587">
        <v>10.6</v>
      </c>
      <c r="E79" s="588">
        <f t="shared" si="11"/>
        <v>21.5</v>
      </c>
      <c r="F79" s="588">
        <v>32.1</v>
      </c>
      <c r="G79" s="589">
        <v>2.9</v>
      </c>
      <c r="H79" s="590">
        <f t="shared" si="12"/>
        <v>10.5</v>
      </c>
      <c r="I79" s="591">
        <v>13.4</v>
      </c>
      <c r="J79" s="589">
        <v>17</v>
      </c>
      <c r="K79" s="590">
        <f t="shared" si="13"/>
        <v>0.89999999999999858</v>
      </c>
      <c r="L79" s="591">
        <v>17.899999999999999</v>
      </c>
      <c r="M79" s="589">
        <v>132.6</v>
      </c>
      <c r="N79" s="590">
        <f t="shared" si="14"/>
        <v>49.700000000000017</v>
      </c>
      <c r="O79" s="591">
        <v>182.3</v>
      </c>
      <c r="P79" s="589">
        <v>71.400000000000006</v>
      </c>
      <c r="Q79" s="590">
        <f t="shared" si="15"/>
        <v>2.2999999999999972</v>
      </c>
      <c r="R79" s="591">
        <v>73.7</v>
      </c>
      <c r="S79" s="589">
        <v>2.2000000000000002</v>
      </c>
      <c r="T79" s="590">
        <f t="shared" si="16"/>
        <v>2.8999999999999995</v>
      </c>
      <c r="U79" s="591">
        <v>5.0999999999999996</v>
      </c>
      <c r="V79" s="589">
        <v>5</v>
      </c>
      <c r="W79" s="590">
        <f t="shared" si="17"/>
        <v>1.2999999999999998</v>
      </c>
      <c r="X79" s="591">
        <v>6.3</v>
      </c>
      <c r="Y79" s="589"/>
      <c r="Z79" s="588" t="str">
        <f t="shared" si="18"/>
        <v/>
      </c>
      <c r="AA79" s="591">
        <v>33.299999999999997</v>
      </c>
      <c r="AB79" s="589"/>
      <c r="AC79" s="590" t="str">
        <f t="shared" si="19"/>
        <v/>
      </c>
      <c r="AD79" s="591">
        <v>0.5</v>
      </c>
      <c r="AE79" s="589">
        <v>21.8</v>
      </c>
      <c r="AF79" s="590">
        <f t="shared" si="20"/>
        <v>14.999999999999996</v>
      </c>
      <c r="AG79" s="591">
        <v>36.799999999999997</v>
      </c>
      <c r="AH79" s="592">
        <v>263.5</v>
      </c>
      <c r="AI79" s="593">
        <f t="shared" si="21"/>
        <v>139.60000000000002</v>
      </c>
      <c r="AJ79" s="594">
        <v>403.1</v>
      </c>
    </row>
    <row r="80" spans="3:36" x14ac:dyDescent="0.3">
      <c r="C80" s="179">
        <v>42795</v>
      </c>
      <c r="D80" s="578">
        <v>7.4</v>
      </c>
      <c r="E80" s="579">
        <f t="shared" si="11"/>
        <v>19.299999999999997</v>
      </c>
      <c r="F80" s="579">
        <v>26.7</v>
      </c>
      <c r="G80" s="580">
        <v>1.7</v>
      </c>
      <c r="H80" s="581">
        <f t="shared" si="12"/>
        <v>6</v>
      </c>
      <c r="I80" s="582">
        <v>7.7</v>
      </c>
      <c r="J80" s="580">
        <v>17.5</v>
      </c>
      <c r="K80" s="581">
        <f t="shared" si="13"/>
        <v>2.5</v>
      </c>
      <c r="L80" s="582">
        <v>20</v>
      </c>
      <c r="M80" s="580">
        <v>117.2</v>
      </c>
      <c r="N80" s="581">
        <f t="shared" si="14"/>
        <v>37.999999999999986</v>
      </c>
      <c r="O80" s="582">
        <v>155.19999999999999</v>
      </c>
      <c r="P80" s="580">
        <v>51.2</v>
      </c>
      <c r="Q80" s="581">
        <f t="shared" si="15"/>
        <v>2.2999999999999972</v>
      </c>
      <c r="R80" s="582">
        <v>53.5</v>
      </c>
      <c r="S80" s="580">
        <v>3.4</v>
      </c>
      <c r="T80" s="581">
        <f t="shared" si="16"/>
        <v>1.6</v>
      </c>
      <c r="U80" s="582">
        <v>5</v>
      </c>
      <c r="V80" s="580">
        <v>1.8</v>
      </c>
      <c r="W80" s="581">
        <f t="shared" si="17"/>
        <v>3.3</v>
      </c>
      <c r="X80" s="582">
        <v>5.0999999999999996</v>
      </c>
      <c r="Y80" s="580"/>
      <c r="Z80" s="579" t="str">
        <f t="shared" si="18"/>
        <v/>
      </c>
      <c r="AA80" s="582">
        <v>23.9</v>
      </c>
      <c r="AB80" s="580"/>
      <c r="AC80" s="581" t="str">
        <f t="shared" si="19"/>
        <v/>
      </c>
      <c r="AD80" s="582">
        <v>0.4</v>
      </c>
      <c r="AE80" s="580">
        <v>24.3</v>
      </c>
      <c r="AF80" s="581">
        <f t="shared" si="20"/>
        <v>12.8</v>
      </c>
      <c r="AG80" s="582">
        <v>37.1</v>
      </c>
      <c r="AH80" s="584">
        <v>225</v>
      </c>
      <c r="AI80" s="585">
        <f t="shared" si="21"/>
        <v>112.60000000000002</v>
      </c>
      <c r="AJ80" s="586">
        <v>337.6</v>
      </c>
    </row>
    <row r="81" spans="3:36" x14ac:dyDescent="0.3">
      <c r="C81" s="179">
        <v>42887</v>
      </c>
      <c r="D81" s="587">
        <v>10.9</v>
      </c>
      <c r="E81" s="588">
        <f t="shared" si="11"/>
        <v>31.300000000000004</v>
      </c>
      <c r="F81" s="588">
        <v>42.2</v>
      </c>
      <c r="G81" s="589">
        <v>2.9</v>
      </c>
      <c r="H81" s="590">
        <f t="shared" si="12"/>
        <v>18.700000000000003</v>
      </c>
      <c r="I81" s="591">
        <v>21.6</v>
      </c>
      <c r="J81" s="589">
        <v>22.4</v>
      </c>
      <c r="K81" s="590">
        <f t="shared" si="13"/>
        <v>8</v>
      </c>
      <c r="L81" s="591">
        <v>30.4</v>
      </c>
      <c r="M81" s="589">
        <v>141.9</v>
      </c>
      <c r="N81" s="590">
        <f t="shared" si="14"/>
        <v>50.699999999999989</v>
      </c>
      <c r="O81" s="591">
        <v>192.6</v>
      </c>
      <c r="P81" s="589">
        <v>81.2</v>
      </c>
      <c r="Q81" s="590">
        <f t="shared" si="15"/>
        <v>3.0999999999999943</v>
      </c>
      <c r="R81" s="591">
        <v>84.3</v>
      </c>
      <c r="S81" s="589">
        <v>1.9</v>
      </c>
      <c r="T81" s="590">
        <f t="shared" si="16"/>
        <v>1.9</v>
      </c>
      <c r="U81" s="591">
        <v>3.8</v>
      </c>
      <c r="V81" s="589">
        <v>4.0999999999999996</v>
      </c>
      <c r="W81" s="590">
        <f t="shared" si="17"/>
        <v>1.1000000000000005</v>
      </c>
      <c r="X81" s="591">
        <v>5.2</v>
      </c>
      <c r="Y81" s="589"/>
      <c r="Z81" s="588" t="str">
        <f t="shared" si="18"/>
        <v/>
      </c>
      <c r="AA81" s="591">
        <v>26</v>
      </c>
      <c r="AB81" s="589"/>
      <c r="AC81" s="590" t="str">
        <f t="shared" si="19"/>
        <v/>
      </c>
      <c r="AD81" s="591">
        <v>0.6</v>
      </c>
      <c r="AE81" s="589">
        <v>25.4</v>
      </c>
      <c r="AF81" s="590">
        <f t="shared" si="20"/>
        <v>12.899999999999999</v>
      </c>
      <c r="AG81" s="591">
        <v>38.299999999999997</v>
      </c>
      <c r="AH81" s="592">
        <v>291</v>
      </c>
      <c r="AI81" s="593">
        <f t="shared" si="21"/>
        <v>153.89999999999998</v>
      </c>
      <c r="AJ81" s="594">
        <v>444.9</v>
      </c>
    </row>
    <row r="82" spans="3:36" x14ac:dyDescent="0.3">
      <c r="C82" s="179">
        <v>42979</v>
      </c>
      <c r="D82" s="578">
        <v>14.5</v>
      </c>
      <c r="E82" s="579">
        <f t="shared" si="11"/>
        <v>30</v>
      </c>
      <c r="F82" s="579">
        <v>44.5</v>
      </c>
      <c r="G82" s="580">
        <v>2.9</v>
      </c>
      <c r="H82" s="581">
        <f t="shared" si="12"/>
        <v>24.700000000000003</v>
      </c>
      <c r="I82" s="582">
        <v>27.6</v>
      </c>
      <c r="J82" s="580">
        <v>25.7</v>
      </c>
      <c r="K82" s="581">
        <f t="shared" si="13"/>
        <v>14.000000000000004</v>
      </c>
      <c r="L82" s="582">
        <v>39.700000000000003</v>
      </c>
      <c r="M82" s="580">
        <v>137</v>
      </c>
      <c r="N82" s="581">
        <f t="shared" si="14"/>
        <v>55.900000000000006</v>
      </c>
      <c r="O82" s="582">
        <v>192.9</v>
      </c>
      <c r="P82" s="580">
        <v>81.5</v>
      </c>
      <c r="Q82" s="581">
        <f t="shared" si="15"/>
        <v>2.2999999999999972</v>
      </c>
      <c r="R82" s="582">
        <v>83.8</v>
      </c>
      <c r="S82" s="580">
        <v>3.2</v>
      </c>
      <c r="T82" s="581">
        <f t="shared" si="16"/>
        <v>2.8</v>
      </c>
      <c r="U82" s="582">
        <v>6</v>
      </c>
      <c r="V82" s="580">
        <v>5.0999999999999996</v>
      </c>
      <c r="W82" s="581">
        <f t="shared" si="17"/>
        <v>1.5</v>
      </c>
      <c r="X82" s="582">
        <v>6.6</v>
      </c>
      <c r="Y82" s="580">
        <v>0.8</v>
      </c>
      <c r="Z82" s="579">
        <f t="shared" si="18"/>
        <v>34.300000000000004</v>
      </c>
      <c r="AA82" s="582">
        <v>35.1</v>
      </c>
      <c r="AB82" s="580">
        <v>0.7</v>
      </c>
      <c r="AC82" s="581">
        <f t="shared" si="19"/>
        <v>0.30000000000000004</v>
      </c>
      <c r="AD82" s="582">
        <v>1</v>
      </c>
      <c r="AE82" s="580">
        <v>23.1</v>
      </c>
      <c r="AF82" s="581">
        <f t="shared" si="20"/>
        <v>14.899999999999999</v>
      </c>
      <c r="AG82" s="582">
        <v>38</v>
      </c>
      <c r="AH82" s="584">
        <v>294.2</v>
      </c>
      <c r="AI82" s="585">
        <f t="shared" si="21"/>
        <v>181</v>
      </c>
      <c r="AJ82" s="586">
        <v>475.2</v>
      </c>
    </row>
    <row r="83" spans="3:36" x14ac:dyDescent="0.3">
      <c r="C83" s="179">
        <v>43070</v>
      </c>
      <c r="D83" s="587">
        <v>13.6</v>
      </c>
      <c r="E83" s="588">
        <f t="shared" si="11"/>
        <v>28.799999999999997</v>
      </c>
      <c r="F83" s="588">
        <v>42.4</v>
      </c>
      <c r="G83" s="589">
        <v>6.5</v>
      </c>
      <c r="H83" s="590">
        <f t="shared" si="12"/>
        <v>22.8</v>
      </c>
      <c r="I83" s="591">
        <v>29.3</v>
      </c>
      <c r="J83" s="589">
        <v>28.7</v>
      </c>
      <c r="K83" s="590">
        <f t="shared" si="13"/>
        <v>20.2</v>
      </c>
      <c r="L83" s="591">
        <v>48.9</v>
      </c>
      <c r="M83" s="589">
        <v>154.30000000000001</v>
      </c>
      <c r="N83" s="590">
        <f t="shared" si="14"/>
        <v>54.599999999999994</v>
      </c>
      <c r="O83" s="591">
        <v>208.9</v>
      </c>
      <c r="P83" s="589">
        <v>66.3</v>
      </c>
      <c r="Q83" s="590">
        <f t="shared" si="15"/>
        <v>2.6000000000000085</v>
      </c>
      <c r="R83" s="591">
        <v>68.900000000000006</v>
      </c>
      <c r="S83" s="589">
        <v>1.7</v>
      </c>
      <c r="T83" s="590">
        <f t="shared" si="16"/>
        <v>4.3</v>
      </c>
      <c r="U83" s="591">
        <v>6</v>
      </c>
      <c r="V83" s="589">
        <v>0.4</v>
      </c>
      <c r="W83" s="590">
        <f t="shared" si="17"/>
        <v>2.5</v>
      </c>
      <c r="X83" s="591">
        <v>2.9</v>
      </c>
      <c r="Y83" s="589">
        <v>0.2</v>
      </c>
      <c r="Z83" s="588">
        <f t="shared" si="18"/>
        <v>38.799999999999997</v>
      </c>
      <c r="AA83" s="591">
        <v>39</v>
      </c>
      <c r="AB83" s="589">
        <v>2.5</v>
      </c>
      <c r="AC83" s="590">
        <f t="shared" si="19"/>
        <v>1</v>
      </c>
      <c r="AD83" s="591">
        <v>3.5</v>
      </c>
      <c r="AE83" s="589">
        <v>24.5</v>
      </c>
      <c r="AF83" s="590">
        <f t="shared" si="20"/>
        <v>21</v>
      </c>
      <c r="AG83" s="591">
        <v>45.5</v>
      </c>
      <c r="AH83" s="592">
        <v>298.5</v>
      </c>
      <c r="AI83" s="593">
        <f t="shared" si="21"/>
        <v>197.60000000000002</v>
      </c>
      <c r="AJ83" s="594">
        <v>496.1</v>
      </c>
    </row>
    <row r="84" spans="3:36" x14ac:dyDescent="0.3">
      <c r="C84" s="179">
        <v>43160</v>
      </c>
      <c r="D84" s="578">
        <v>11.3</v>
      </c>
      <c r="E84" s="579">
        <f t="shared" si="11"/>
        <v>34.900000000000006</v>
      </c>
      <c r="F84" s="579">
        <v>46.2</v>
      </c>
      <c r="G84" s="580">
        <v>3.7</v>
      </c>
      <c r="H84" s="581">
        <f t="shared" si="12"/>
        <v>14.900000000000002</v>
      </c>
      <c r="I84" s="582">
        <v>18.600000000000001</v>
      </c>
      <c r="J84" s="580">
        <v>27.6</v>
      </c>
      <c r="K84" s="581">
        <f t="shared" si="13"/>
        <v>18.399999999999999</v>
      </c>
      <c r="L84" s="582">
        <v>46</v>
      </c>
      <c r="M84" s="580">
        <v>137.80000000000001</v>
      </c>
      <c r="N84" s="581">
        <f t="shared" si="14"/>
        <v>49.599999999999994</v>
      </c>
      <c r="O84" s="582">
        <v>187.4</v>
      </c>
      <c r="P84" s="580">
        <v>47.5</v>
      </c>
      <c r="Q84" s="581">
        <f t="shared" si="15"/>
        <v>2.6000000000000014</v>
      </c>
      <c r="R84" s="582">
        <v>50.1</v>
      </c>
      <c r="S84" s="580">
        <v>2.5</v>
      </c>
      <c r="T84" s="581">
        <f t="shared" si="16"/>
        <v>3.7</v>
      </c>
      <c r="U84" s="582">
        <v>6.2</v>
      </c>
      <c r="V84" s="580"/>
      <c r="W84" s="581" t="str">
        <f t="shared" si="17"/>
        <v/>
      </c>
      <c r="X84" s="582">
        <v>1.9</v>
      </c>
      <c r="Y84" s="580"/>
      <c r="Z84" s="579" t="str">
        <f t="shared" si="18"/>
        <v/>
      </c>
      <c r="AA84" s="582">
        <v>36.4</v>
      </c>
      <c r="AB84" s="580"/>
      <c r="AC84" s="581" t="str">
        <f t="shared" si="19"/>
        <v/>
      </c>
      <c r="AD84" s="582">
        <v>2</v>
      </c>
      <c r="AE84" s="580">
        <v>28.8</v>
      </c>
      <c r="AF84" s="581">
        <f t="shared" si="20"/>
        <v>14.999999999999996</v>
      </c>
      <c r="AG84" s="582">
        <v>43.8</v>
      </c>
      <c r="AH84" s="584">
        <v>261</v>
      </c>
      <c r="AI84" s="585">
        <f t="shared" si="21"/>
        <v>177.7</v>
      </c>
      <c r="AJ84" s="586">
        <v>438.7</v>
      </c>
    </row>
    <row r="85" spans="3:36" x14ac:dyDescent="0.3">
      <c r="C85" s="179">
        <v>43252</v>
      </c>
      <c r="D85" s="587">
        <v>16.399999999999999</v>
      </c>
      <c r="E85" s="588">
        <f t="shared" si="11"/>
        <v>43.4</v>
      </c>
      <c r="F85" s="588">
        <v>59.8</v>
      </c>
      <c r="G85" s="589">
        <v>6.3</v>
      </c>
      <c r="H85" s="590">
        <f t="shared" si="12"/>
        <v>21.5</v>
      </c>
      <c r="I85" s="591">
        <v>27.8</v>
      </c>
      <c r="J85" s="589">
        <v>39.299999999999997</v>
      </c>
      <c r="K85" s="590">
        <f t="shared" si="13"/>
        <v>26.200000000000003</v>
      </c>
      <c r="L85" s="591">
        <v>65.5</v>
      </c>
      <c r="M85" s="589">
        <v>162.4</v>
      </c>
      <c r="N85" s="590">
        <f t="shared" si="14"/>
        <v>58.5</v>
      </c>
      <c r="O85" s="591">
        <v>220.9</v>
      </c>
      <c r="P85" s="589">
        <v>86.1</v>
      </c>
      <c r="Q85" s="590">
        <f t="shared" si="15"/>
        <v>2.9000000000000057</v>
      </c>
      <c r="R85" s="591">
        <v>89</v>
      </c>
      <c r="S85" s="589"/>
      <c r="T85" s="590" t="str">
        <f t="shared" si="16"/>
        <v/>
      </c>
      <c r="U85" s="591">
        <v>8.9</v>
      </c>
      <c r="V85" s="589">
        <v>0.2</v>
      </c>
      <c r="W85" s="590">
        <f t="shared" si="17"/>
        <v>1.4000000000000001</v>
      </c>
      <c r="X85" s="591">
        <v>1.6</v>
      </c>
      <c r="Y85" s="589"/>
      <c r="Z85" s="588" t="str">
        <f t="shared" si="18"/>
        <v/>
      </c>
      <c r="AA85" s="591">
        <v>43.6</v>
      </c>
      <c r="AB85" s="589">
        <v>1.7</v>
      </c>
      <c r="AC85" s="590">
        <f t="shared" si="19"/>
        <v>0.19999999999999996</v>
      </c>
      <c r="AD85" s="591">
        <v>1.9</v>
      </c>
      <c r="AE85" s="589">
        <v>33.9</v>
      </c>
      <c r="AF85" s="590">
        <f t="shared" si="20"/>
        <v>14.899999999999999</v>
      </c>
      <c r="AG85" s="591">
        <v>48.8</v>
      </c>
      <c r="AH85" s="592">
        <v>349.8</v>
      </c>
      <c r="AI85" s="593">
        <f t="shared" si="21"/>
        <v>217.99999999999994</v>
      </c>
      <c r="AJ85" s="594">
        <v>567.79999999999995</v>
      </c>
    </row>
    <row r="86" spans="3:36" x14ac:dyDescent="0.3">
      <c r="C86" s="179">
        <v>43344</v>
      </c>
      <c r="D86" s="578">
        <v>27.1</v>
      </c>
      <c r="E86" s="579">
        <f t="shared" si="11"/>
        <v>46.1</v>
      </c>
      <c r="F86" s="579">
        <v>73.2</v>
      </c>
      <c r="G86" s="580">
        <v>6.3</v>
      </c>
      <c r="H86" s="581">
        <f t="shared" si="12"/>
        <v>19.7</v>
      </c>
      <c r="I86" s="582">
        <v>26</v>
      </c>
      <c r="J86" s="580">
        <v>27.8</v>
      </c>
      <c r="K86" s="581">
        <f t="shared" si="13"/>
        <v>19.2</v>
      </c>
      <c r="L86" s="582">
        <v>47</v>
      </c>
      <c r="M86" s="580">
        <v>174</v>
      </c>
      <c r="N86" s="581">
        <f t="shared" si="14"/>
        <v>65.699999999999989</v>
      </c>
      <c r="O86" s="582">
        <v>239.7</v>
      </c>
      <c r="P86" s="580">
        <v>84.6</v>
      </c>
      <c r="Q86" s="581">
        <f t="shared" si="15"/>
        <v>1.7000000000000028</v>
      </c>
      <c r="R86" s="582">
        <v>86.3</v>
      </c>
      <c r="S86" s="580"/>
      <c r="T86" s="581" t="str">
        <f t="shared" si="16"/>
        <v/>
      </c>
      <c r="U86" s="582">
        <v>10</v>
      </c>
      <c r="V86" s="580"/>
      <c r="W86" s="581" t="str">
        <f t="shared" si="17"/>
        <v/>
      </c>
      <c r="X86" s="582">
        <v>5.2</v>
      </c>
      <c r="Y86" s="580"/>
      <c r="Z86" s="579" t="str">
        <f t="shared" si="18"/>
        <v/>
      </c>
      <c r="AA86" s="582">
        <v>43.6</v>
      </c>
      <c r="AB86" s="580">
        <v>3.2</v>
      </c>
      <c r="AC86" s="581">
        <f t="shared" si="19"/>
        <v>9.9999999999999645E-2</v>
      </c>
      <c r="AD86" s="582">
        <v>3.3</v>
      </c>
      <c r="AE86" s="580">
        <v>33.799999999999997</v>
      </c>
      <c r="AF86" s="581">
        <f t="shared" si="20"/>
        <v>17.100000000000001</v>
      </c>
      <c r="AG86" s="582">
        <v>50.9</v>
      </c>
      <c r="AH86" s="584">
        <v>361</v>
      </c>
      <c r="AI86" s="585">
        <f t="shared" si="21"/>
        <v>223.39999999999998</v>
      </c>
      <c r="AJ86" s="586">
        <v>584.4</v>
      </c>
    </row>
    <row r="87" spans="3:36" x14ac:dyDescent="0.3">
      <c r="C87" s="179">
        <v>43435</v>
      </c>
      <c r="D87" s="587">
        <v>35.1</v>
      </c>
      <c r="E87" s="588">
        <f t="shared" si="11"/>
        <v>46.499999999999993</v>
      </c>
      <c r="F87" s="588">
        <v>81.599999999999994</v>
      </c>
      <c r="G87" s="589">
        <v>5.8</v>
      </c>
      <c r="H87" s="590">
        <f t="shared" si="12"/>
        <v>20.2</v>
      </c>
      <c r="I87" s="591">
        <v>26</v>
      </c>
      <c r="J87" s="589">
        <v>29.1</v>
      </c>
      <c r="K87" s="590">
        <f t="shared" si="13"/>
        <v>21.1</v>
      </c>
      <c r="L87" s="591">
        <v>50.2</v>
      </c>
      <c r="M87" s="589">
        <v>167.3</v>
      </c>
      <c r="N87" s="590">
        <f t="shared" si="14"/>
        <v>76.799999999999983</v>
      </c>
      <c r="O87" s="591">
        <v>244.1</v>
      </c>
      <c r="P87" s="589">
        <v>71.3</v>
      </c>
      <c r="Q87" s="590">
        <f t="shared" si="15"/>
        <v>4.2000000000000028</v>
      </c>
      <c r="R87" s="591">
        <v>75.5</v>
      </c>
      <c r="S87" s="589">
        <v>2.2000000000000002</v>
      </c>
      <c r="T87" s="590">
        <f t="shared" si="16"/>
        <v>7.2</v>
      </c>
      <c r="U87" s="591">
        <v>9.4</v>
      </c>
      <c r="V87" s="589">
        <v>0.4</v>
      </c>
      <c r="W87" s="590">
        <f t="shared" si="17"/>
        <v>3.2</v>
      </c>
      <c r="X87" s="591">
        <v>3.6</v>
      </c>
      <c r="Y87" s="589"/>
      <c r="Z87" s="588" t="str">
        <f t="shared" si="18"/>
        <v/>
      </c>
      <c r="AA87" s="591">
        <v>50</v>
      </c>
      <c r="AB87" s="589"/>
      <c r="AC87" s="590" t="str">
        <f t="shared" si="19"/>
        <v/>
      </c>
      <c r="AD87" s="591">
        <v>2.2000000000000002</v>
      </c>
      <c r="AE87" s="589">
        <v>32.4</v>
      </c>
      <c r="AF87" s="590">
        <f t="shared" si="20"/>
        <v>17.5</v>
      </c>
      <c r="AG87" s="591">
        <v>49.9</v>
      </c>
      <c r="AH87" s="592">
        <v>346.3</v>
      </c>
      <c r="AI87" s="593">
        <f t="shared" si="21"/>
        <v>246.40000000000003</v>
      </c>
      <c r="AJ87" s="594">
        <v>592.70000000000005</v>
      </c>
    </row>
    <row r="88" spans="3:36" x14ac:dyDescent="0.3">
      <c r="C88" s="179">
        <v>43525</v>
      </c>
      <c r="D88" s="578">
        <v>34.299999999999997</v>
      </c>
      <c r="E88" s="579">
        <f t="shared" si="11"/>
        <v>30.700000000000003</v>
      </c>
      <c r="F88" s="579">
        <v>65</v>
      </c>
      <c r="G88" s="580">
        <v>4.5</v>
      </c>
      <c r="H88" s="581">
        <f t="shared" si="12"/>
        <v>10.3</v>
      </c>
      <c r="I88" s="582">
        <v>14.8</v>
      </c>
      <c r="J88" s="580">
        <v>25.7</v>
      </c>
      <c r="K88" s="581">
        <f t="shared" si="13"/>
        <v>22.599999999999998</v>
      </c>
      <c r="L88" s="582">
        <v>48.3</v>
      </c>
      <c r="M88" s="580">
        <v>158.5</v>
      </c>
      <c r="N88" s="581">
        <f t="shared" si="14"/>
        <v>64.5</v>
      </c>
      <c r="O88" s="582">
        <v>223</v>
      </c>
      <c r="P88" s="580">
        <v>64</v>
      </c>
      <c r="Q88" s="581">
        <f t="shared" si="15"/>
        <v>3.4000000000000057</v>
      </c>
      <c r="R88" s="582">
        <v>67.400000000000006</v>
      </c>
      <c r="S88" s="580">
        <v>1.9</v>
      </c>
      <c r="T88" s="581">
        <f t="shared" si="16"/>
        <v>4.9000000000000004</v>
      </c>
      <c r="U88" s="582">
        <v>6.8</v>
      </c>
      <c r="V88" s="580"/>
      <c r="W88" s="581" t="str">
        <f t="shared" si="17"/>
        <v/>
      </c>
      <c r="X88" s="582">
        <v>2.2999999999999998</v>
      </c>
      <c r="Y88" s="580"/>
      <c r="Z88" s="579" t="str">
        <f t="shared" si="18"/>
        <v/>
      </c>
      <c r="AA88" s="582">
        <v>36</v>
      </c>
      <c r="AB88" s="580"/>
      <c r="AC88" s="581" t="str">
        <f t="shared" si="19"/>
        <v/>
      </c>
      <c r="AD88" s="582">
        <v>1.2</v>
      </c>
      <c r="AE88" s="580">
        <v>27.9</v>
      </c>
      <c r="AF88" s="581">
        <f t="shared" si="20"/>
        <v>11.800000000000004</v>
      </c>
      <c r="AG88" s="582">
        <v>39.700000000000003</v>
      </c>
      <c r="AH88" s="584">
        <v>319.5</v>
      </c>
      <c r="AI88" s="585">
        <f t="shared" si="21"/>
        <v>186.2</v>
      </c>
      <c r="AJ88" s="586">
        <v>505.7</v>
      </c>
    </row>
    <row r="89" spans="3:36" x14ac:dyDescent="0.3">
      <c r="C89" s="179">
        <v>43617</v>
      </c>
      <c r="D89" s="587">
        <v>61.3</v>
      </c>
      <c r="E89" s="588">
        <f t="shared" si="11"/>
        <v>47.7</v>
      </c>
      <c r="F89" s="588">
        <v>109</v>
      </c>
      <c r="G89" s="589">
        <v>7.5</v>
      </c>
      <c r="H89" s="590">
        <f t="shared" si="12"/>
        <v>14.899999999999999</v>
      </c>
      <c r="I89" s="591">
        <v>22.4</v>
      </c>
      <c r="J89" s="589">
        <v>34.200000000000003</v>
      </c>
      <c r="K89" s="590">
        <f t="shared" si="13"/>
        <v>23</v>
      </c>
      <c r="L89" s="591">
        <v>57.2</v>
      </c>
      <c r="M89" s="589">
        <v>175.7</v>
      </c>
      <c r="N89" s="590">
        <f t="shared" si="14"/>
        <v>84.100000000000023</v>
      </c>
      <c r="O89" s="591">
        <v>259.8</v>
      </c>
      <c r="P89" s="589">
        <v>91.5</v>
      </c>
      <c r="Q89" s="590">
        <f t="shared" si="15"/>
        <v>3.2999999999999972</v>
      </c>
      <c r="R89" s="591">
        <v>94.8</v>
      </c>
      <c r="S89" s="589">
        <v>2.8</v>
      </c>
      <c r="T89" s="590">
        <f t="shared" si="16"/>
        <v>6.7</v>
      </c>
      <c r="U89" s="591">
        <v>9.5</v>
      </c>
      <c r="V89" s="589"/>
      <c r="W89" s="590" t="str">
        <f t="shared" si="17"/>
        <v/>
      </c>
      <c r="X89" s="591">
        <v>3.1</v>
      </c>
      <c r="Y89" s="589"/>
      <c r="Z89" s="588" t="str">
        <f t="shared" si="18"/>
        <v/>
      </c>
      <c r="AA89" s="591">
        <v>52.5</v>
      </c>
      <c r="AB89" s="589">
        <v>2.2999999999999998</v>
      </c>
      <c r="AC89" s="590">
        <f t="shared" si="19"/>
        <v>0.40000000000000036</v>
      </c>
      <c r="AD89" s="591">
        <v>2.7</v>
      </c>
      <c r="AE89" s="589">
        <v>39</v>
      </c>
      <c r="AF89" s="590">
        <f t="shared" si="20"/>
        <v>14.899999999999999</v>
      </c>
      <c r="AG89" s="591">
        <v>53.9</v>
      </c>
      <c r="AH89" s="592">
        <v>415.1</v>
      </c>
      <c r="AI89" s="593">
        <f t="shared" si="21"/>
        <v>249.69999999999993</v>
      </c>
      <c r="AJ89" s="594">
        <v>664.8</v>
      </c>
    </row>
    <row r="90" spans="3:36" x14ac:dyDescent="0.3">
      <c r="C90" s="179">
        <v>43709</v>
      </c>
      <c r="D90" s="578">
        <v>70.400000000000006</v>
      </c>
      <c r="E90" s="579">
        <f t="shared" si="11"/>
        <v>46.699999999999989</v>
      </c>
      <c r="F90" s="579">
        <v>117.1</v>
      </c>
      <c r="G90" s="580">
        <v>7</v>
      </c>
      <c r="H90" s="581">
        <f t="shared" si="12"/>
        <v>20.3</v>
      </c>
      <c r="I90" s="582">
        <v>27.3</v>
      </c>
      <c r="J90" s="580">
        <v>42.8</v>
      </c>
      <c r="K90" s="581">
        <f t="shared" si="13"/>
        <v>21.600000000000009</v>
      </c>
      <c r="L90" s="582">
        <v>64.400000000000006</v>
      </c>
      <c r="M90" s="580">
        <v>193</v>
      </c>
      <c r="N90" s="581">
        <f t="shared" si="14"/>
        <v>88.300000000000011</v>
      </c>
      <c r="O90" s="582">
        <v>281.3</v>
      </c>
      <c r="P90" s="580">
        <v>100</v>
      </c>
      <c r="Q90" s="581">
        <f t="shared" si="15"/>
        <v>2.7999999999999972</v>
      </c>
      <c r="R90" s="582">
        <v>102.8</v>
      </c>
      <c r="S90" s="580">
        <v>1.4</v>
      </c>
      <c r="T90" s="581">
        <f t="shared" si="16"/>
        <v>6.1</v>
      </c>
      <c r="U90" s="582">
        <v>7.5</v>
      </c>
      <c r="V90" s="580"/>
      <c r="W90" s="581" t="str">
        <f t="shared" si="17"/>
        <v/>
      </c>
      <c r="X90" s="582">
        <v>2.5</v>
      </c>
      <c r="Y90" s="580"/>
      <c r="Z90" s="579" t="str">
        <f t="shared" si="18"/>
        <v/>
      </c>
      <c r="AA90" s="582">
        <v>63.2</v>
      </c>
      <c r="AB90" s="580"/>
      <c r="AC90" s="581" t="str">
        <f t="shared" si="19"/>
        <v/>
      </c>
      <c r="AD90" s="582">
        <v>2.1</v>
      </c>
      <c r="AE90" s="580">
        <v>43.2</v>
      </c>
      <c r="AF90" s="581">
        <f t="shared" si="20"/>
        <v>13.699999999999996</v>
      </c>
      <c r="AG90" s="582">
        <v>56.9</v>
      </c>
      <c r="AH90" s="584">
        <v>459.7</v>
      </c>
      <c r="AI90" s="585">
        <f t="shared" si="21"/>
        <v>265.09999999999997</v>
      </c>
      <c r="AJ90" s="586">
        <v>724.8</v>
      </c>
    </row>
    <row r="91" spans="3:36" x14ac:dyDescent="0.3">
      <c r="C91" s="179">
        <v>43800</v>
      </c>
      <c r="D91" s="587">
        <v>67.900000000000006</v>
      </c>
      <c r="E91" s="588">
        <f t="shared" si="11"/>
        <v>55.899999999999991</v>
      </c>
      <c r="F91" s="588">
        <v>123.8</v>
      </c>
      <c r="G91" s="589">
        <v>3.7</v>
      </c>
      <c r="H91" s="590">
        <f t="shared" si="12"/>
        <v>12.3</v>
      </c>
      <c r="I91" s="591">
        <v>16</v>
      </c>
      <c r="J91" s="589">
        <v>42.9</v>
      </c>
      <c r="K91" s="590">
        <f t="shared" si="13"/>
        <v>16.899999999999999</v>
      </c>
      <c r="L91" s="591">
        <v>59.8</v>
      </c>
      <c r="M91" s="589">
        <v>199.9</v>
      </c>
      <c r="N91" s="590">
        <f t="shared" si="14"/>
        <v>103.99999999999997</v>
      </c>
      <c r="O91" s="591">
        <v>303.89999999999998</v>
      </c>
      <c r="P91" s="589">
        <v>81</v>
      </c>
      <c r="Q91" s="590">
        <f t="shared" si="15"/>
        <v>3.5999999999999943</v>
      </c>
      <c r="R91" s="591">
        <v>84.6</v>
      </c>
      <c r="S91" s="589">
        <v>2.2999999999999998</v>
      </c>
      <c r="T91" s="590">
        <f t="shared" si="16"/>
        <v>8.6000000000000014</v>
      </c>
      <c r="U91" s="591">
        <v>10.9</v>
      </c>
      <c r="V91" s="589"/>
      <c r="W91" s="590" t="str">
        <f t="shared" si="17"/>
        <v/>
      </c>
      <c r="X91" s="591">
        <v>2.2999999999999998</v>
      </c>
      <c r="Y91" s="589"/>
      <c r="Z91" s="588" t="str">
        <f t="shared" si="18"/>
        <v/>
      </c>
      <c r="AA91" s="591">
        <v>77.599999999999994</v>
      </c>
      <c r="AB91" s="589">
        <v>1.6</v>
      </c>
      <c r="AC91" s="590">
        <f t="shared" si="19"/>
        <v>0.19999999999999996</v>
      </c>
      <c r="AD91" s="591">
        <v>1.8</v>
      </c>
      <c r="AE91" s="589">
        <v>53.9</v>
      </c>
      <c r="AF91" s="590">
        <f t="shared" si="20"/>
        <v>18.600000000000001</v>
      </c>
      <c r="AG91" s="591">
        <v>72.5</v>
      </c>
      <c r="AH91" s="592">
        <v>453.9</v>
      </c>
      <c r="AI91" s="593">
        <f t="shared" si="21"/>
        <v>299.20000000000005</v>
      </c>
      <c r="AJ91" s="594">
        <v>753.1</v>
      </c>
    </row>
    <row r="92" spans="3:36" x14ac:dyDescent="0.3">
      <c r="C92" s="179">
        <v>43891</v>
      </c>
      <c r="D92" s="578">
        <v>50.9</v>
      </c>
      <c r="E92" s="579">
        <f t="shared" si="11"/>
        <v>45.000000000000007</v>
      </c>
      <c r="F92" s="579">
        <v>95.9</v>
      </c>
      <c r="G92" s="580">
        <v>1.8</v>
      </c>
      <c r="H92" s="581">
        <f t="shared" si="12"/>
        <v>5</v>
      </c>
      <c r="I92" s="582">
        <v>6.8</v>
      </c>
      <c r="J92" s="580">
        <v>29.5</v>
      </c>
      <c r="K92" s="581">
        <f t="shared" si="13"/>
        <v>7.2999999999999972</v>
      </c>
      <c r="L92" s="582">
        <v>36.799999999999997</v>
      </c>
      <c r="M92" s="580">
        <v>183.3</v>
      </c>
      <c r="N92" s="581">
        <f t="shared" si="14"/>
        <v>89</v>
      </c>
      <c r="O92" s="582">
        <v>272.3</v>
      </c>
      <c r="P92" s="580">
        <v>72.3</v>
      </c>
      <c r="Q92" s="581">
        <f t="shared" si="15"/>
        <v>2.9000000000000057</v>
      </c>
      <c r="R92" s="582">
        <v>75.2</v>
      </c>
      <c r="S92" s="580">
        <v>1.7</v>
      </c>
      <c r="T92" s="581">
        <f t="shared" si="16"/>
        <v>7.1000000000000005</v>
      </c>
      <c r="U92" s="582">
        <v>8.8000000000000007</v>
      </c>
      <c r="V92" s="580"/>
      <c r="W92" s="581" t="str">
        <f t="shared" si="17"/>
        <v/>
      </c>
      <c r="X92" s="582">
        <v>1.1000000000000001</v>
      </c>
      <c r="Y92" s="580"/>
      <c r="Z92" s="579" t="str">
        <f t="shared" si="18"/>
        <v/>
      </c>
      <c r="AA92" s="582">
        <v>75.099999999999994</v>
      </c>
      <c r="AB92" s="580"/>
      <c r="AC92" s="581" t="str">
        <f t="shared" si="19"/>
        <v/>
      </c>
      <c r="AD92" s="582">
        <v>0.5</v>
      </c>
      <c r="AE92" s="580">
        <v>26.7</v>
      </c>
      <c r="AF92" s="581">
        <f t="shared" si="20"/>
        <v>11.3</v>
      </c>
      <c r="AG92" s="582">
        <v>38</v>
      </c>
      <c r="AH92" s="584">
        <v>367.1</v>
      </c>
      <c r="AI92" s="585">
        <f t="shared" si="21"/>
        <v>243.5</v>
      </c>
      <c r="AJ92" s="586">
        <v>610.6</v>
      </c>
    </row>
    <row r="93" spans="3:36" x14ac:dyDescent="0.3">
      <c r="C93" s="179">
        <v>43983</v>
      </c>
      <c r="D93" s="587">
        <v>34.700000000000003</v>
      </c>
      <c r="E93" s="588">
        <f t="shared" si="11"/>
        <v>48.599999999999994</v>
      </c>
      <c r="F93" s="588">
        <v>83.3</v>
      </c>
      <c r="G93" s="589">
        <v>1.9</v>
      </c>
      <c r="H93" s="590">
        <f t="shared" si="12"/>
        <v>6.5</v>
      </c>
      <c r="I93" s="591">
        <v>8.4</v>
      </c>
      <c r="J93" s="589">
        <v>33.9</v>
      </c>
      <c r="K93" s="590">
        <f t="shared" si="13"/>
        <v>7.8000000000000043</v>
      </c>
      <c r="L93" s="591">
        <v>41.7</v>
      </c>
      <c r="M93" s="589">
        <v>209.4</v>
      </c>
      <c r="N93" s="590">
        <f t="shared" si="14"/>
        <v>94.999999999999972</v>
      </c>
      <c r="O93" s="591">
        <v>304.39999999999998</v>
      </c>
      <c r="P93" s="589">
        <v>96.1</v>
      </c>
      <c r="Q93" s="590">
        <f t="shared" si="15"/>
        <v>2.6000000000000085</v>
      </c>
      <c r="R93" s="591">
        <v>98.7</v>
      </c>
      <c r="S93" s="589">
        <v>1.4</v>
      </c>
      <c r="T93" s="590">
        <f t="shared" si="16"/>
        <v>8.6</v>
      </c>
      <c r="U93" s="591">
        <v>10</v>
      </c>
      <c r="V93" s="589"/>
      <c r="W93" s="590" t="str">
        <f t="shared" si="17"/>
        <v/>
      </c>
      <c r="X93" s="591">
        <v>1.6</v>
      </c>
      <c r="Y93" s="589"/>
      <c r="Z93" s="588" t="str">
        <f t="shared" si="18"/>
        <v/>
      </c>
      <c r="AA93" s="591">
        <v>87.2</v>
      </c>
      <c r="AB93" s="589"/>
      <c r="AC93" s="590" t="str">
        <f t="shared" si="19"/>
        <v/>
      </c>
      <c r="AD93" s="591">
        <v>0.5</v>
      </c>
      <c r="AE93" s="589">
        <v>34</v>
      </c>
      <c r="AF93" s="590">
        <f t="shared" si="20"/>
        <v>13.399999999999999</v>
      </c>
      <c r="AG93" s="591">
        <v>47.4</v>
      </c>
      <c r="AH93" s="592">
        <v>412.4</v>
      </c>
      <c r="AI93" s="593">
        <f t="shared" si="21"/>
        <v>270.89999999999998</v>
      </c>
      <c r="AJ93" s="594">
        <v>683.3</v>
      </c>
    </row>
    <row r="94" spans="3:36" x14ac:dyDescent="0.3">
      <c r="C94" s="179">
        <v>44075</v>
      </c>
      <c r="D94" s="578">
        <v>26.2</v>
      </c>
      <c r="E94" s="579">
        <f t="shared" si="11"/>
        <v>49.599999999999994</v>
      </c>
      <c r="F94" s="579">
        <v>75.8</v>
      </c>
      <c r="G94" s="580">
        <v>4.3</v>
      </c>
      <c r="H94" s="581">
        <f t="shared" si="12"/>
        <v>8.8000000000000007</v>
      </c>
      <c r="I94" s="582">
        <v>13.1</v>
      </c>
      <c r="J94" s="580">
        <v>42.2</v>
      </c>
      <c r="K94" s="581">
        <f t="shared" si="13"/>
        <v>6.6999999999999957</v>
      </c>
      <c r="L94" s="582">
        <v>48.9</v>
      </c>
      <c r="M94" s="580">
        <v>259.7</v>
      </c>
      <c r="N94" s="581">
        <f t="shared" si="14"/>
        <v>96.400000000000034</v>
      </c>
      <c r="O94" s="582">
        <v>356.1</v>
      </c>
      <c r="P94" s="580">
        <v>108.8</v>
      </c>
      <c r="Q94" s="581">
        <f t="shared" si="15"/>
        <v>2.2000000000000028</v>
      </c>
      <c r="R94" s="582">
        <v>111</v>
      </c>
      <c r="S94" s="580">
        <v>3.1</v>
      </c>
      <c r="T94" s="581">
        <f t="shared" si="16"/>
        <v>6.1</v>
      </c>
      <c r="U94" s="582">
        <v>9.1999999999999993</v>
      </c>
      <c r="V94" s="580"/>
      <c r="W94" s="581" t="str">
        <f t="shared" si="17"/>
        <v/>
      </c>
      <c r="X94" s="582">
        <v>1.8</v>
      </c>
      <c r="Y94" s="580"/>
      <c r="Z94" s="579" t="str">
        <f t="shared" si="18"/>
        <v/>
      </c>
      <c r="AA94" s="582">
        <v>73.099999999999994</v>
      </c>
      <c r="AB94" s="580"/>
      <c r="AC94" s="581" t="str">
        <f t="shared" si="19"/>
        <v/>
      </c>
      <c r="AD94" s="582">
        <v>1.2</v>
      </c>
      <c r="AE94" s="580">
        <v>37.299999999999997</v>
      </c>
      <c r="AF94" s="581">
        <f t="shared" si="20"/>
        <v>17.200000000000003</v>
      </c>
      <c r="AG94" s="582">
        <v>54.5</v>
      </c>
      <c r="AH94" s="584">
        <v>483.3</v>
      </c>
      <c r="AI94" s="585">
        <f t="shared" si="21"/>
        <v>261.59999999999997</v>
      </c>
      <c r="AJ94" s="586">
        <v>744.9</v>
      </c>
    </row>
    <row r="95" spans="3:36" x14ac:dyDescent="0.3">
      <c r="C95" s="179">
        <v>44166</v>
      </c>
      <c r="D95" s="587">
        <v>24.3</v>
      </c>
      <c r="E95" s="588">
        <f t="shared" si="11"/>
        <v>54.400000000000006</v>
      </c>
      <c r="F95" s="588">
        <v>78.7</v>
      </c>
      <c r="G95" s="589">
        <v>7.9</v>
      </c>
      <c r="H95" s="590">
        <f t="shared" si="12"/>
        <v>15.200000000000001</v>
      </c>
      <c r="I95" s="591">
        <v>23.1</v>
      </c>
      <c r="J95" s="589">
        <v>47.1</v>
      </c>
      <c r="K95" s="590">
        <f t="shared" si="13"/>
        <v>6.8999999999999986</v>
      </c>
      <c r="L95" s="591">
        <v>54</v>
      </c>
      <c r="M95" s="589">
        <v>269.2</v>
      </c>
      <c r="N95" s="590">
        <f t="shared" si="14"/>
        <v>114.30000000000001</v>
      </c>
      <c r="O95" s="591">
        <v>383.5</v>
      </c>
      <c r="P95" s="589">
        <v>105.9</v>
      </c>
      <c r="Q95" s="590">
        <f t="shared" si="15"/>
        <v>4.2999999999999972</v>
      </c>
      <c r="R95" s="591">
        <v>110.2</v>
      </c>
      <c r="S95" s="589">
        <v>3.7</v>
      </c>
      <c r="T95" s="590">
        <f t="shared" si="16"/>
        <v>4.8</v>
      </c>
      <c r="U95" s="591">
        <v>8.5</v>
      </c>
      <c r="V95" s="589"/>
      <c r="W95" s="590" t="str">
        <f t="shared" si="17"/>
        <v/>
      </c>
      <c r="X95" s="591">
        <v>2.2000000000000002</v>
      </c>
      <c r="Y95" s="589"/>
      <c r="Z95" s="588" t="str">
        <f t="shared" si="18"/>
        <v/>
      </c>
      <c r="AA95" s="591">
        <v>56.2</v>
      </c>
      <c r="AB95" s="589"/>
      <c r="AC95" s="590" t="str">
        <f t="shared" si="19"/>
        <v/>
      </c>
      <c r="AD95" s="591">
        <v>0.8</v>
      </c>
      <c r="AE95" s="589">
        <v>34.9</v>
      </c>
      <c r="AF95" s="590">
        <f t="shared" si="20"/>
        <v>18</v>
      </c>
      <c r="AG95" s="591">
        <v>52.9</v>
      </c>
      <c r="AH95" s="592">
        <v>494.7</v>
      </c>
      <c r="AI95" s="593">
        <f t="shared" si="21"/>
        <v>275.3</v>
      </c>
      <c r="AJ95" s="594">
        <v>770</v>
      </c>
    </row>
    <row r="96" spans="3:36" x14ac:dyDescent="0.3">
      <c r="C96" s="179">
        <v>44256</v>
      </c>
      <c r="D96" s="578">
        <v>51.7</v>
      </c>
      <c r="E96" s="579">
        <f t="shared" si="11"/>
        <v>51.099999999999994</v>
      </c>
      <c r="F96" s="579">
        <v>102.8</v>
      </c>
      <c r="G96" s="580">
        <v>4.0999999999999996</v>
      </c>
      <c r="H96" s="581">
        <f t="shared" si="12"/>
        <v>9.3000000000000007</v>
      </c>
      <c r="I96" s="582">
        <v>13.4</v>
      </c>
      <c r="J96" s="580">
        <v>40.700000000000003</v>
      </c>
      <c r="K96" s="581">
        <f t="shared" si="13"/>
        <v>5</v>
      </c>
      <c r="L96" s="582">
        <v>45.7</v>
      </c>
      <c r="M96" s="580">
        <v>246.9</v>
      </c>
      <c r="N96" s="581">
        <f t="shared" si="14"/>
        <v>113.29999999999998</v>
      </c>
      <c r="O96" s="582">
        <v>360.2</v>
      </c>
      <c r="P96" s="580">
        <v>96.4</v>
      </c>
      <c r="Q96" s="581">
        <f t="shared" si="15"/>
        <v>4.7999999999999972</v>
      </c>
      <c r="R96" s="582">
        <v>101.2</v>
      </c>
      <c r="S96" s="580">
        <v>4.5999999999999996</v>
      </c>
      <c r="T96" s="581">
        <f t="shared" si="16"/>
        <v>5.2000000000000011</v>
      </c>
      <c r="U96" s="582">
        <v>9.8000000000000007</v>
      </c>
      <c r="V96" s="580">
        <v>0.3</v>
      </c>
      <c r="W96" s="581">
        <f t="shared" si="17"/>
        <v>1.5</v>
      </c>
      <c r="X96" s="582">
        <v>1.8</v>
      </c>
      <c r="Y96" s="580"/>
      <c r="Z96" s="579" t="str">
        <f t="shared" si="18"/>
        <v/>
      </c>
      <c r="AA96" s="582">
        <v>50.8</v>
      </c>
      <c r="AB96" s="580"/>
      <c r="AC96" s="581" t="str">
        <f t="shared" si="19"/>
        <v/>
      </c>
      <c r="AD96" s="582">
        <v>0.5</v>
      </c>
      <c r="AE96" s="580">
        <v>32.6</v>
      </c>
      <c r="AF96" s="581">
        <f t="shared" si="20"/>
        <v>16.299999999999997</v>
      </c>
      <c r="AG96" s="582">
        <v>48.9</v>
      </c>
      <c r="AH96" s="584">
        <v>480.2</v>
      </c>
      <c r="AI96" s="585">
        <f t="shared" si="21"/>
        <v>254.59999999999997</v>
      </c>
      <c r="AJ96" s="586">
        <v>734.8</v>
      </c>
    </row>
    <row r="97" spans="3:36" x14ac:dyDescent="0.3">
      <c r="C97" s="179">
        <v>44348</v>
      </c>
      <c r="D97" s="587">
        <v>45.3</v>
      </c>
      <c r="E97" s="588">
        <f t="shared" si="11"/>
        <v>74.3</v>
      </c>
      <c r="F97" s="588">
        <v>119.6</v>
      </c>
      <c r="G97" s="589">
        <v>4.7</v>
      </c>
      <c r="H97" s="590">
        <f t="shared" si="12"/>
        <v>10.3</v>
      </c>
      <c r="I97" s="591">
        <v>15</v>
      </c>
      <c r="J97" s="589">
        <v>55.2</v>
      </c>
      <c r="K97" s="590">
        <f t="shared" si="13"/>
        <v>6.0999999999999943</v>
      </c>
      <c r="L97" s="591">
        <v>61.3</v>
      </c>
      <c r="M97" s="589">
        <v>295.7</v>
      </c>
      <c r="N97" s="590">
        <f t="shared" si="14"/>
        <v>134.10000000000002</v>
      </c>
      <c r="O97" s="591">
        <v>429.8</v>
      </c>
      <c r="P97" s="589">
        <v>143.9</v>
      </c>
      <c r="Q97" s="590">
        <f t="shared" si="15"/>
        <v>6.9000000000000057</v>
      </c>
      <c r="R97" s="591">
        <v>150.80000000000001</v>
      </c>
      <c r="S97" s="589">
        <v>2.2999999999999998</v>
      </c>
      <c r="T97" s="590">
        <f t="shared" si="16"/>
        <v>7.0000000000000009</v>
      </c>
      <c r="U97" s="591">
        <v>9.3000000000000007</v>
      </c>
      <c r="V97" s="589"/>
      <c r="W97" s="590" t="str">
        <f t="shared" si="17"/>
        <v/>
      </c>
      <c r="X97" s="591">
        <v>3.9</v>
      </c>
      <c r="Y97" s="589"/>
      <c r="Z97" s="588" t="str">
        <f t="shared" si="18"/>
        <v/>
      </c>
      <c r="AA97" s="591">
        <v>54.9</v>
      </c>
      <c r="AB97" s="589"/>
      <c r="AC97" s="590" t="str">
        <f t="shared" si="19"/>
        <v/>
      </c>
      <c r="AD97" s="591">
        <v>1.5</v>
      </c>
      <c r="AE97" s="589">
        <v>43.6</v>
      </c>
      <c r="AF97" s="590">
        <f t="shared" si="20"/>
        <v>22.499999999999993</v>
      </c>
      <c r="AG97" s="591">
        <v>66.099999999999994</v>
      </c>
      <c r="AH97" s="592">
        <v>593.9</v>
      </c>
      <c r="AI97" s="593">
        <f t="shared" si="21"/>
        <v>318.10000000000002</v>
      </c>
      <c r="AJ97" s="594">
        <v>912</v>
      </c>
    </row>
    <row r="98" spans="3:36" x14ac:dyDescent="0.3">
      <c r="C98" s="179">
        <v>44440</v>
      </c>
      <c r="D98" s="578">
        <v>80.5</v>
      </c>
      <c r="E98" s="579">
        <f t="shared" si="11"/>
        <v>74.800000000000011</v>
      </c>
      <c r="F98" s="579">
        <v>155.30000000000001</v>
      </c>
      <c r="G98" s="580">
        <v>7</v>
      </c>
      <c r="H98" s="581">
        <f t="shared" si="12"/>
        <v>13</v>
      </c>
      <c r="I98" s="582">
        <v>20</v>
      </c>
      <c r="J98" s="580">
        <v>56.6</v>
      </c>
      <c r="K98" s="581">
        <f t="shared" si="13"/>
        <v>4.8999999999999986</v>
      </c>
      <c r="L98" s="582">
        <v>61.5</v>
      </c>
      <c r="M98" s="580">
        <v>297.10000000000002</v>
      </c>
      <c r="N98" s="581">
        <f t="shared" si="14"/>
        <v>120.79999999999995</v>
      </c>
      <c r="O98" s="582">
        <v>417.9</v>
      </c>
      <c r="P98" s="580">
        <v>168.3</v>
      </c>
      <c r="Q98" s="581">
        <f t="shared" si="15"/>
        <v>6.2999999999999829</v>
      </c>
      <c r="R98" s="582">
        <v>174.6</v>
      </c>
      <c r="S98" s="580">
        <v>1.9</v>
      </c>
      <c r="T98" s="581">
        <f t="shared" si="16"/>
        <v>11.299999999999999</v>
      </c>
      <c r="U98" s="582">
        <v>13.2</v>
      </c>
      <c r="V98" s="580"/>
      <c r="W98" s="581" t="str">
        <f t="shared" si="17"/>
        <v/>
      </c>
      <c r="X98" s="582">
        <v>3.4</v>
      </c>
      <c r="Y98" s="580"/>
      <c r="Z98" s="579" t="str">
        <f t="shared" si="18"/>
        <v/>
      </c>
      <c r="AA98" s="582">
        <v>66.5</v>
      </c>
      <c r="AB98" s="580"/>
      <c r="AC98" s="581" t="str">
        <f t="shared" si="19"/>
        <v/>
      </c>
      <c r="AD98" s="582">
        <v>2.2000000000000002</v>
      </c>
      <c r="AE98" s="580">
        <v>56.7</v>
      </c>
      <c r="AF98" s="581">
        <f t="shared" si="20"/>
        <v>26.299999999999997</v>
      </c>
      <c r="AG98" s="582">
        <v>83</v>
      </c>
      <c r="AH98" s="584">
        <v>670.5</v>
      </c>
      <c r="AI98" s="585">
        <f t="shared" si="21"/>
        <v>327.10000000000002</v>
      </c>
      <c r="AJ98" s="586">
        <v>997.6</v>
      </c>
    </row>
    <row r="99" spans="3:36" x14ac:dyDescent="0.3">
      <c r="C99" s="179">
        <v>44531</v>
      </c>
      <c r="D99" s="587">
        <v>79.099999999999994</v>
      </c>
      <c r="E99" s="588">
        <f t="shared" si="11"/>
        <v>93.4</v>
      </c>
      <c r="F99" s="588">
        <v>172.5</v>
      </c>
      <c r="G99" s="589">
        <v>9.9</v>
      </c>
      <c r="H99" s="590">
        <f t="shared" si="12"/>
        <v>14.4</v>
      </c>
      <c r="I99" s="591">
        <v>24.3</v>
      </c>
      <c r="J99" s="589">
        <v>62.2</v>
      </c>
      <c r="K99" s="590">
        <f t="shared" si="13"/>
        <v>6</v>
      </c>
      <c r="L99" s="591">
        <v>68.2</v>
      </c>
      <c r="M99" s="589">
        <v>276.39999999999998</v>
      </c>
      <c r="N99" s="590">
        <f t="shared" si="14"/>
        <v>114.40000000000003</v>
      </c>
      <c r="O99" s="591">
        <v>390.8</v>
      </c>
      <c r="P99" s="589">
        <v>118.5</v>
      </c>
      <c r="Q99" s="590">
        <f t="shared" si="15"/>
        <v>12.300000000000011</v>
      </c>
      <c r="R99" s="591">
        <v>130.80000000000001</v>
      </c>
      <c r="S99" s="589">
        <v>2</v>
      </c>
      <c r="T99" s="590">
        <f t="shared" si="16"/>
        <v>11.3</v>
      </c>
      <c r="U99" s="591">
        <v>13.3</v>
      </c>
      <c r="V99" s="589">
        <v>0.6</v>
      </c>
      <c r="W99" s="590">
        <f t="shared" si="17"/>
        <v>2.6</v>
      </c>
      <c r="X99" s="591">
        <v>3.2</v>
      </c>
      <c r="Y99" s="589"/>
      <c r="Z99" s="588" t="str">
        <f t="shared" si="18"/>
        <v/>
      </c>
      <c r="AA99" s="591">
        <v>54</v>
      </c>
      <c r="AB99" s="589"/>
      <c r="AC99" s="590" t="str">
        <f t="shared" si="19"/>
        <v/>
      </c>
      <c r="AD99" s="591">
        <v>1.4</v>
      </c>
      <c r="AE99" s="589">
        <v>57.3</v>
      </c>
      <c r="AF99" s="590">
        <f t="shared" si="20"/>
        <v>35.900000000000006</v>
      </c>
      <c r="AG99" s="591">
        <v>93.2</v>
      </c>
      <c r="AH99" s="592">
        <v>606.79999999999995</v>
      </c>
      <c r="AI99" s="593">
        <f t="shared" si="21"/>
        <v>344.90000000000009</v>
      </c>
      <c r="AJ99" s="594">
        <v>951.7</v>
      </c>
    </row>
    <row r="100" spans="3:36" x14ac:dyDescent="0.3">
      <c r="C100" s="179">
        <v>44621</v>
      </c>
      <c r="D100" s="578">
        <v>43.9</v>
      </c>
      <c r="E100" s="579">
        <f t="shared" si="11"/>
        <v>78.400000000000006</v>
      </c>
      <c r="F100" s="579">
        <v>122.3</v>
      </c>
      <c r="G100" s="580">
        <v>5.0999999999999996</v>
      </c>
      <c r="H100" s="581">
        <f t="shared" si="12"/>
        <v>16.100000000000001</v>
      </c>
      <c r="I100" s="582">
        <v>21.2</v>
      </c>
      <c r="J100" s="580">
        <v>53.7</v>
      </c>
      <c r="K100" s="581">
        <f t="shared" si="13"/>
        <v>10.799999999999997</v>
      </c>
      <c r="L100" s="582">
        <v>64.5</v>
      </c>
      <c r="M100" s="580">
        <v>253</v>
      </c>
      <c r="N100" s="581">
        <f t="shared" si="14"/>
        <v>110.60000000000002</v>
      </c>
      <c r="O100" s="582">
        <v>363.6</v>
      </c>
      <c r="P100" s="580">
        <v>123</v>
      </c>
      <c r="Q100" s="581">
        <f t="shared" si="15"/>
        <v>16.5</v>
      </c>
      <c r="R100" s="582">
        <v>139.5</v>
      </c>
      <c r="S100" s="580">
        <v>1.2</v>
      </c>
      <c r="T100" s="581">
        <f t="shared" si="16"/>
        <v>9.4</v>
      </c>
      <c r="U100" s="582">
        <v>10.6</v>
      </c>
      <c r="V100" s="580"/>
      <c r="W100" s="581" t="str">
        <f t="shared" si="17"/>
        <v/>
      </c>
      <c r="X100" s="582">
        <v>3.7</v>
      </c>
      <c r="Y100" s="580"/>
      <c r="Z100" s="579" t="str">
        <f t="shared" si="18"/>
        <v/>
      </c>
      <c r="AA100" s="582">
        <v>43.3</v>
      </c>
      <c r="AB100" s="580"/>
      <c r="AC100" s="581" t="str">
        <f t="shared" si="19"/>
        <v/>
      </c>
      <c r="AD100" s="582">
        <v>0.7</v>
      </c>
      <c r="AE100" s="580">
        <v>46.2</v>
      </c>
      <c r="AF100" s="581">
        <f t="shared" si="20"/>
        <v>39.899999999999991</v>
      </c>
      <c r="AG100" s="582">
        <v>86.1</v>
      </c>
      <c r="AH100" s="584">
        <v>526.5</v>
      </c>
      <c r="AI100" s="585">
        <f t="shared" si="21"/>
        <v>328.79999999999995</v>
      </c>
      <c r="AJ100" s="586">
        <v>855.3</v>
      </c>
    </row>
    <row r="101" spans="3:36" x14ac:dyDescent="0.3">
      <c r="C101" s="179">
        <v>44713</v>
      </c>
      <c r="D101" s="587">
        <v>50.4</v>
      </c>
      <c r="E101" s="588">
        <f t="shared" si="11"/>
        <v>84.199999999999989</v>
      </c>
      <c r="F101" s="588">
        <v>134.6</v>
      </c>
      <c r="G101" s="589">
        <v>6.3</v>
      </c>
      <c r="H101" s="590">
        <f t="shared" si="12"/>
        <v>18.8</v>
      </c>
      <c r="I101" s="591">
        <v>25.1</v>
      </c>
      <c r="J101" s="589">
        <v>69.5</v>
      </c>
      <c r="K101" s="590">
        <f t="shared" si="13"/>
        <v>12</v>
      </c>
      <c r="L101" s="591">
        <v>81.5</v>
      </c>
      <c r="M101" s="589">
        <v>300.60000000000002</v>
      </c>
      <c r="N101" s="590">
        <f t="shared" si="14"/>
        <v>121.09999999999997</v>
      </c>
      <c r="O101" s="591">
        <v>421.7</v>
      </c>
      <c r="P101" s="589">
        <v>181.8</v>
      </c>
      <c r="Q101" s="590">
        <f t="shared" si="15"/>
        <v>19.199999999999989</v>
      </c>
      <c r="R101" s="591">
        <v>201</v>
      </c>
      <c r="S101" s="589">
        <v>2</v>
      </c>
      <c r="T101" s="590">
        <f t="shared" si="16"/>
        <v>19.2</v>
      </c>
      <c r="U101" s="591">
        <v>21.2</v>
      </c>
      <c r="V101" s="589">
        <v>0.5</v>
      </c>
      <c r="W101" s="590">
        <f t="shared" si="17"/>
        <v>5.9</v>
      </c>
      <c r="X101" s="591">
        <v>6.4</v>
      </c>
      <c r="Y101" s="589"/>
      <c r="Z101" s="588" t="str">
        <f t="shared" si="18"/>
        <v/>
      </c>
      <c r="AA101" s="591">
        <v>61.7</v>
      </c>
      <c r="AB101" s="589"/>
      <c r="AC101" s="590" t="str">
        <f t="shared" si="19"/>
        <v/>
      </c>
      <c r="AD101" s="591">
        <v>0.9</v>
      </c>
      <c r="AE101" s="589">
        <v>62.9</v>
      </c>
      <c r="AF101" s="590">
        <f t="shared" si="20"/>
        <v>40.1</v>
      </c>
      <c r="AG101" s="591">
        <v>103</v>
      </c>
      <c r="AH101" s="592">
        <v>674.8</v>
      </c>
      <c r="AI101" s="593">
        <f t="shared" si="21"/>
        <v>382.5</v>
      </c>
      <c r="AJ101" s="594">
        <v>1057.3</v>
      </c>
    </row>
    <row r="102" spans="3:36" x14ac:dyDescent="0.3">
      <c r="C102" s="179">
        <v>44805</v>
      </c>
      <c r="D102" s="578">
        <v>59.4</v>
      </c>
      <c r="E102" s="579">
        <f t="shared" si="11"/>
        <v>106.5</v>
      </c>
      <c r="F102" s="579">
        <v>165.9</v>
      </c>
      <c r="G102" s="580">
        <v>7.7</v>
      </c>
      <c r="H102" s="581">
        <f t="shared" si="12"/>
        <v>21.900000000000002</v>
      </c>
      <c r="I102" s="582">
        <v>29.6</v>
      </c>
      <c r="J102" s="580">
        <v>69.599999999999994</v>
      </c>
      <c r="K102" s="581">
        <f t="shared" si="13"/>
        <v>9.6000000000000085</v>
      </c>
      <c r="L102" s="582">
        <v>79.2</v>
      </c>
      <c r="M102" s="580">
        <v>286</v>
      </c>
      <c r="N102" s="581">
        <f t="shared" si="14"/>
        <v>94.5</v>
      </c>
      <c r="O102" s="582">
        <v>380.5</v>
      </c>
      <c r="P102" s="580">
        <v>182.4</v>
      </c>
      <c r="Q102" s="581">
        <f t="shared" si="15"/>
        <v>17.599999999999994</v>
      </c>
      <c r="R102" s="582">
        <v>200</v>
      </c>
      <c r="S102" s="580">
        <v>1.8</v>
      </c>
      <c r="T102" s="581">
        <f t="shared" si="16"/>
        <v>16.8</v>
      </c>
      <c r="U102" s="582">
        <v>18.600000000000001</v>
      </c>
      <c r="V102" s="580">
        <v>0.2</v>
      </c>
      <c r="W102" s="581" t="str">
        <f t="shared" si="17"/>
        <v/>
      </c>
      <c r="X102" s="582"/>
      <c r="Y102" s="580"/>
      <c r="Z102" s="579" t="str">
        <f t="shared" si="18"/>
        <v/>
      </c>
      <c r="AA102" s="582">
        <v>64.8</v>
      </c>
      <c r="AB102" s="580"/>
      <c r="AC102" s="581" t="str">
        <f t="shared" si="19"/>
        <v/>
      </c>
      <c r="AD102" s="582"/>
      <c r="AE102" s="580">
        <v>91.8</v>
      </c>
      <c r="AF102" s="581">
        <f t="shared" si="20"/>
        <v>56.7</v>
      </c>
      <c r="AG102" s="582">
        <v>148.5</v>
      </c>
      <c r="AH102" s="584">
        <v>700.5</v>
      </c>
      <c r="AI102" s="585">
        <f t="shared" si="21"/>
        <v>398.79999999999995</v>
      </c>
      <c r="AJ102" s="586">
        <v>1099.3</v>
      </c>
    </row>
    <row r="103" spans="3:36" x14ac:dyDescent="0.3">
      <c r="C103" s="179">
        <v>44896</v>
      </c>
      <c r="D103" s="587">
        <v>39.4</v>
      </c>
      <c r="E103" s="588">
        <f t="shared" si="11"/>
        <v>109</v>
      </c>
      <c r="F103" s="588">
        <v>148.4</v>
      </c>
      <c r="G103" s="589">
        <v>5.5</v>
      </c>
      <c r="H103" s="590">
        <f t="shared" si="12"/>
        <v>20.9</v>
      </c>
      <c r="I103" s="591">
        <v>26.4</v>
      </c>
      <c r="J103" s="589">
        <v>76.2</v>
      </c>
      <c r="K103" s="590">
        <f t="shared" si="13"/>
        <v>14.099999999999994</v>
      </c>
      <c r="L103" s="591">
        <v>90.3</v>
      </c>
      <c r="M103" s="589">
        <v>264.5</v>
      </c>
      <c r="N103" s="590">
        <f t="shared" si="14"/>
        <v>94.800000000000011</v>
      </c>
      <c r="O103" s="591">
        <v>359.3</v>
      </c>
      <c r="P103" s="589">
        <v>161.30000000000001</v>
      </c>
      <c r="Q103" s="590">
        <f t="shared" si="15"/>
        <v>13.199999999999989</v>
      </c>
      <c r="R103" s="591">
        <v>174.5</v>
      </c>
      <c r="S103" s="589">
        <v>1.5</v>
      </c>
      <c r="T103" s="590">
        <f t="shared" si="16"/>
        <v>15.399999999999999</v>
      </c>
      <c r="U103" s="591">
        <v>16.899999999999999</v>
      </c>
      <c r="V103" s="589"/>
      <c r="W103" s="590" t="str">
        <f t="shared" si="17"/>
        <v/>
      </c>
      <c r="X103" s="591">
        <v>12</v>
      </c>
      <c r="Y103" s="589"/>
      <c r="Z103" s="588" t="str">
        <f t="shared" si="18"/>
        <v/>
      </c>
      <c r="AA103" s="591">
        <v>71.400000000000006</v>
      </c>
      <c r="AB103" s="589"/>
      <c r="AC103" s="590" t="str">
        <f t="shared" si="19"/>
        <v/>
      </c>
      <c r="AD103" s="591">
        <v>1.1000000000000001</v>
      </c>
      <c r="AE103" s="589">
        <v>95</v>
      </c>
      <c r="AF103" s="590">
        <f t="shared" si="20"/>
        <v>53</v>
      </c>
      <c r="AG103" s="591">
        <v>148</v>
      </c>
      <c r="AH103" s="592">
        <v>645</v>
      </c>
      <c r="AI103" s="593">
        <f t="shared" si="21"/>
        <v>403.20000000000005</v>
      </c>
      <c r="AJ103" s="594">
        <v>1048.2</v>
      </c>
    </row>
    <row r="104" spans="3:36" x14ac:dyDescent="0.3">
      <c r="C104" s="179">
        <v>44986</v>
      </c>
      <c r="D104" s="578">
        <v>39.5</v>
      </c>
      <c r="E104" s="579">
        <f t="shared" si="11"/>
        <v>96.1</v>
      </c>
      <c r="F104" s="579">
        <v>135.6</v>
      </c>
      <c r="G104" s="580">
        <v>4.9000000000000004</v>
      </c>
      <c r="H104" s="581">
        <f t="shared" si="12"/>
        <v>16.299999999999997</v>
      </c>
      <c r="I104" s="582">
        <v>21.2</v>
      </c>
      <c r="J104" s="580">
        <v>68.3</v>
      </c>
      <c r="K104" s="581">
        <f t="shared" si="13"/>
        <v>10.299999999999997</v>
      </c>
      <c r="L104" s="582">
        <v>78.599999999999994</v>
      </c>
      <c r="M104" s="580">
        <v>191.6</v>
      </c>
      <c r="N104" s="581">
        <f t="shared" si="14"/>
        <v>83.9</v>
      </c>
      <c r="O104" s="582">
        <v>275.5</v>
      </c>
      <c r="P104" s="580">
        <v>129.80000000000001</v>
      </c>
      <c r="Q104" s="581">
        <f t="shared" si="15"/>
        <v>11.599999999999994</v>
      </c>
      <c r="R104" s="582">
        <v>141.4</v>
      </c>
      <c r="S104" s="580">
        <v>2.7</v>
      </c>
      <c r="T104" s="581">
        <f t="shared" si="16"/>
        <v>16.2</v>
      </c>
      <c r="U104" s="582">
        <v>18.899999999999999</v>
      </c>
      <c r="V104" s="580"/>
      <c r="W104" s="581" t="str">
        <f t="shared" si="17"/>
        <v/>
      </c>
      <c r="X104" s="582">
        <v>9.1999999999999993</v>
      </c>
      <c r="Y104" s="580"/>
      <c r="Z104" s="579" t="str">
        <f t="shared" si="18"/>
        <v/>
      </c>
      <c r="AA104" s="582">
        <v>62.4</v>
      </c>
      <c r="AB104" s="580"/>
      <c r="AC104" s="581" t="str">
        <f t="shared" si="19"/>
        <v/>
      </c>
      <c r="AD104" s="582">
        <v>0.6</v>
      </c>
      <c r="AE104" s="580">
        <v>105.2</v>
      </c>
      <c r="AF104" s="581">
        <f t="shared" si="20"/>
        <v>47.2</v>
      </c>
      <c r="AG104" s="582">
        <v>152.4</v>
      </c>
      <c r="AH104" s="584">
        <v>545.5</v>
      </c>
      <c r="AI104" s="585">
        <f t="shared" si="21"/>
        <v>350.4</v>
      </c>
      <c r="AJ104" s="586">
        <v>895.9</v>
      </c>
    </row>
    <row r="105" spans="3:36" x14ac:dyDescent="0.3">
      <c r="C105" s="179">
        <v>45078</v>
      </c>
      <c r="D105" s="587">
        <v>48.1</v>
      </c>
      <c r="E105" s="588">
        <f t="shared" si="11"/>
        <v>128.1</v>
      </c>
      <c r="F105" s="588">
        <v>176.2</v>
      </c>
      <c r="G105" s="589">
        <v>3.7</v>
      </c>
      <c r="H105" s="590">
        <f t="shared" si="12"/>
        <v>19</v>
      </c>
      <c r="I105" s="591">
        <v>22.7</v>
      </c>
      <c r="J105" s="589">
        <v>73</v>
      </c>
      <c r="K105" s="590">
        <f t="shared" si="13"/>
        <v>10.5</v>
      </c>
      <c r="L105" s="591">
        <v>83.5</v>
      </c>
      <c r="M105" s="589">
        <v>211.3</v>
      </c>
      <c r="N105" s="590">
        <f t="shared" si="14"/>
        <v>99.199999999999989</v>
      </c>
      <c r="O105" s="591">
        <v>310.5</v>
      </c>
      <c r="P105" s="589">
        <v>180.3</v>
      </c>
      <c r="Q105" s="590">
        <f t="shared" si="15"/>
        <v>11.5</v>
      </c>
      <c r="R105" s="591">
        <v>191.8</v>
      </c>
      <c r="S105" s="589">
        <v>2.4</v>
      </c>
      <c r="T105" s="590">
        <f t="shared" si="16"/>
        <v>17.200000000000003</v>
      </c>
      <c r="U105" s="591">
        <v>19.600000000000001</v>
      </c>
      <c r="V105" s="589"/>
      <c r="W105" s="590" t="str">
        <f t="shared" si="17"/>
        <v/>
      </c>
      <c r="X105" s="591">
        <v>13.2</v>
      </c>
      <c r="Y105" s="589"/>
      <c r="Z105" s="588" t="str">
        <f t="shared" si="18"/>
        <v/>
      </c>
      <c r="AA105" s="591">
        <v>82.4</v>
      </c>
      <c r="AB105" s="589"/>
      <c r="AC105" s="590" t="str">
        <f t="shared" si="19"/>
        <v/>
      </c>
      <c r="AD105" s="591">
        <v>1.1000000000000001</v>
      </c>
      <c r="AE105" s="589">
        <v>140.1</v>
      </c>
      <c r="AF105" s="590">
        <f t="shared" si="20"/>
        <v>48.900000000000006</v>
      </c>
      <c r="AG105" s="591">
        <v>189</v>
      </c>
      <c r="AH105" s="592">
        <v>663.9</v>
      </c>
      <c r="AI105" s="593">
        <f t="shared" si="21"/>
        <v>426.1</v>
      </c>
      <c r="AJ105" s="594">
        <v>1090</v>
      </c>
    </row>
    <row r="106" spans="3:36" x14ac:dyDescent="0.3">
      <c r="C106" s="179">
        <v>45170</v>
      </c>
      <c r="D106" s="578">
        <v>51.4</v>
      </c>
      <c r="E106" s="579">
        <f t="shared" si="11"/>
        <v>129.69999999999999</v>
      </c>
      <c r="F106" s="579">
        <v>181.1</v>
      </c>
      <c r="G106" s="580">
        <v>5.0999999999999996</v>
      </c>
      <c r="H106" s="581">
        <f t="shared" si="12"/>
        <v>22.5</v>
      </c>
      <c r="I106" s="582">
        <v>27.6</v>
      </c>
      <c r="J106" s="580">
        <v>76.7</v>
      </c>
      <c r="K106" s="581">
        <f t="shared" si="13"/>
        <v>10.099999999999994</v>
      </c>
      <c r="L106" s="582">
        <v>86.8</v>
      </c>
      <c r="M106" s="580">
        <v>244.3</v>
      </c>
      <c r="N106" s="581">
        <f t="shared" si="14"/>
        <v>89.099999999999966</v>
      </c>
      <c r="O106" s="582">
        <v>333.4</v>
      </c>
      <c r="P106" s="580">
        <v>186.1</v>
      </c>
      <c r="Q106" s="581">
        <f t="shared" si="15"/>
        <v>10.400000000000006</v>
      </c>
      <c r="R106" s="582">
        <v>196.5</v>
      </c>
      <c r="S106" s="580">
        <v>2.1</v>
      </c>
      <c r="T106" s="581">
        <f t="shared" si="16"/>
        <v>16.799999999999997</v>
      </c>
      <c r="U106" s="582">
        <v>18.899999999999999</v>
      </c>
      <c r="V106" s="580"/>
      <c r="W106" s="581" t="str">
        <f t="shared" si="17"/>
        <v/>
      </c>
      <c r="X106" s="582">
        <v>17.5</v>
      </c>
      <c r="Y106" s="580"/>
      <c r="Z106" s="579" t="str">
        <f t="shared" si="18"/>
        <v/>
      </c>
      <c r="AA106" s="582">
        <v>86.6</v>
      </c>
      <c r="AB106" s="580"/>
      <c r="AC106" s="581" t="str">
        <f t="shared" si="19"/>
        <v/>
      </c>
      <c r="AD106" s="582">
        <v>1.5</v>
      </c>
      <c r="AE106" s="580">
        <v>143</v>
      </c>
      <c r="AF106" s="581">
        <f t="shared" si="20"/>
        <v>67</v>
      </c>
      <c r="AG106" s="582">
        <v>210</v>
      </c>
      <c r="AH106" s="584">
        <v>714.9</v>
      </c>
      <c r="AI106" s="585">
        <f t="shared" si="21"/>
        <v>445.00000000000011</v>
      </c>
      <c r="AJ106" s="586">
        <v>1159.9000000000001</v>
      </c>
    </row>
    <row r="107" spans="3:36" x14ac:dyDescent="0.3">
      <c r="C107" s="179">
        <v>45261</v>
      </c>
      <c r="D107" s="587">
        <v>45.9</v>
      </c>
      <c r="E107" s="588">
        <f t="shared" si="11"/>
        <v>122.1</v>
      </c>
      <c r="F107" s="588">
        <v>168</v>
      </c>
      <c r="G107" s="589">
        <v>5.0999999999999996</v>
      </c>
      <c r="H107" s="590">
        <f t="shared" si="12"/>
        <v>25</v>
      </c>
      <c r="I107" s="591">
        <v>30.1</v>
      </c>
      <c r="J107" s="589">
        <v>63.3</v>
      </c>
      <c r="K107" s="590">
        <f t="shared" si="13"/>
        <v>11.400000000000006</v>
      </c>
      <c r="L107" s="591">
        <v>74.7</v>
      </c>
      <c r="M107" s="589">
        <v>229.3</v>
      </c>
      <c r="N107" s="590">
        <f t="shared" si="14"/>
        <v>93.800000000000011</v>
      </c>
      <c r="O107" s="591">
        <v>323.10000000000002</v>
      </c>
      <c r="P107" s="589">
        <v>155.1</v>
      </c>
      <c r="Q107" s="590">
        <f t="shared" si="15"/>
        <v>11.099999999999994</v>
      </c>
      <c r="R107" s="591">
        <v>166.2</v>
      </c>
      <c r="S107" s="589">
        <v>2</v>
      </c>
      <c r="T107" s="590">
        <f t="shared" si="16"/>
        <v>13.1</v>
      </c>
      <c r="U107" s="591">
        <v>15.1</v>
      </c>
      <c r="V107" s="589"/>
      <c r="W107" s="590" t="str">
        <f t="shared" si="17"/>
        <v/>
      </c>
      <c r="X107" s="591">
        <v>15.1</v>
      </c>
      <c r="Y107" s="589"/>
      <c r="Z107" s="588" t="str">
        <f t="shared" si="18"/>
        <v/>
      </c>
      <c r="AA107" s="591">
        <v>90.9</v>
      </c>
      <c r="AB107" s="589"/>
      <c r="AC107" s="590" t="str">
        <f t="shared" si="19"/>
        <v/>
      </c>
      <c r="AD107" s="591">
        <v>1.3</v>
      </c>
      <c r="AE107" s="589">
        <v>172.1</v>
      </c>
      <c r="AF107" s="590">
        <f t="shared" si="20"/>
        <v>58.200000000000017</v>
      </c>
      <c r="AG107" s="591">
        <v>230.3</v>
      </c>
      <c r="AH107" s="592">
        <v>676.9</v>
      </c>
      <c r="AI107" s="593">
        <f t="shared" si="21"/>
        <v>437.9</v>
      </c>
      <c r="AJ107" s="594">
        <v>1114.8</v>
      </c>
    </row>
    <row r="108" spans="3:36" x14ac:dyDescent="0.3">
      <c r="C108" s="179">
        <v>45352</v>
      </c>
      <c r="D108" s="578">
        <v>28.7</v>
      </c>
      <c r="E108" s="579">
        <f t="shared" si="11"/>
        <v>100.10000000000001</v>
      </c>
      <c r="F108" s="579">
        <v>128.80000000000001</v>
      </c>
      <c r="G108" s="580">
        <v>3</v>
      </c>
      <c r="H108" s="581">
        <f t="shared" si="12"/>
        <v>18.2</v>
      </c>
      <c r="I108" s="582">
        <v>21.2</v>
      </c>
      <c r="J108" s="580">
        <v>42.6</v>
      </c>
      <c r="K108" s="581">
        <f t="shared" si="13"/>
        <v>5.8999999999999986</v>
      </c>
      <c r="L108" s="582">
        <v>48.5</v>
      </c>
      <c r="M108" s="580">
        <v>200.4</v>
      </c>
      <c r="N108" s="581">
        <f t="shared" si="14"/>
        <v>83.999999999999972</v>
      </c>
      <c r="O108" s="582">
        <v>284.39999999999998</v>
      </c>
      <c r="P108" s="580">
        <v>142.9</v>
      </c>
      <c r="Q108" s="581">
        <f t="shared" si="15"/>
        <v>7.4000000000000057</v>
      </c>
      <c r="R108" s="582">
        <v>150.30000000000001</v>
      </c>
      <c r="S108" s="580">
        <v>3.6</v>
      </c>
      <c r="T108" s="581">
        <f t="shared" si="16"/>
        <v>10.700000000000001</v>
      </c>
      <c r="U108" s="582">
        <v>14.3</v>
      </c>
      <c r="V108" s="580">
        <v>1.8</v>
      </c>
      <c r="W108" s="581">
        <f t="shared" si="17"/>
        <v>8.3999999999999986</v>
      </c>
      <c r="X108" s="582">
        <v>10.199999999999999</v>
      </c>
      <c r="Y108" s="580"/>
      <c r="Z108" s="579" t="str">
        <f t="shared" si="18"/>
        <v/>
      </c>
      <c r="AA108" s="582">
        <v>79.3</v>
      </c>
      <c r="AB108" s="580"/>
      <c r="AC108" s="581" t="str">
        <f t="shared" si="19"/>
        <v/>
      </c>
      <c r="AD108" s="582">
        <v>0.7</v>
      </c>
      <c r="AE108" s="580">
        <v>129</v>
      </c>
      <c r="AF108" s="581">
        <f t="shared" si="20"/>
        <v>43.099999999999994</v>
      </c>
      <c r="AG108" s="582">
        <v>172.1</v>
      </c>
      <c r="AH108" s="584">
        <v>553.6</v>
      </c>
      <c r="AI108" s="585">
        <f t="shared" si="21"/>
        <v>356</v>
      </c>
      <c r="AJ108" s="586">
        <v>909.6</v>
      </c>
    </row>
    <row r="109" spans="3:36" ht="15" thickBot="1" x14ac:dyDescent="0.35">
      <c r="C109" s="201">
        <v>45444</v>
      </c>
      <c r="D109" s="595">
        <v>36.4</v>
      </c>
      <c r="E109" s="596">
        <f t="shared" si="11"/>
        <v>113.69999999999999</v>
      </c>
      <c r="F109" s="596">
        <v>150.1</v>
      </c>
      <c r="G109" s="597">
        <v>2.6</v>
      </c>
      <c r="H109" s="598">
        <f t="shared" si="12"/>
        <v>22.599999999999998</v>
      </c>
      <c r="I109" s="599">
        <v>25.2</v>
      </c>
      <c r="J109" s="597">
        <v>52.9</v>
      </c>
      <c r="K109" s="598">
        <f t="shared" si="13"/>
        <v>4.8000000000000043</v>
      </c>
      <c r="L109" s="599">
        <v>57.7</v>
      </c>
      <c r="M109" s="597">
        <v>209.9</v>
      </c>
      <c r="N109" s="598">
        <f t="shared" si="14"/>
        <v>86.700000000000017</v>
      </c>
      <c r="O109" s="599">
        <v>296.60000000000002</v>
      </c>
      <c r="P109" s="597">
        <v>189.6</v>
      </c>
      <c r="Q109" s="598">
        <f t="shared" si="15"/>
        <v>5.7000000000000171</v>
      </c>
      <c r="R109" s="599">
        <v>195.3</v>
      </c>
      <c r="S109" s="597">
        <v>3.2</v>
      </c>
      <c r="T109" s="598">
        <f t="shared" si="16"/>
        <v>15.100000000000001</v>
      </c>
      <c r="U109" s="599">
        <v>18.3</v>
      </c>
      <c r="V109" s="597"/>
      <c r="W109" s="598" t="str">
        <f t="shared" si="17"/>
        <v/>
      </c>
      <c r="X109" s="599">
        <v>15.1</v>
      </c>
      <c r="Y109" s="597"/>
      <c r="Z109" s="596" t="str">
        <f t="shared" si="18"/>
        <v/>
      </c>
      <c r="AA109" s="599">
        <v>79.900000000000006</v>
      </c>
      <c r="AB109" s="597"/>
      <c r="AC109" s="598" t="str">
        <f t="shared" si="19"/>
        <v/>
      </c>
      <c r="AD109" s="599">
        <v>1.4</v>
      </c>
      <c r="AE109" s="597">
        <v>130.5</v>
      </c>
      <c r="AF109" s="598">
        <f t="shared" si="20"/>
        <v>45.300000000000011</v>
      </c>
      <c r="AG109" s="599">
        <v>175.8</v>
      </c>
      <c r="AH109" s="600">
        <v>629.79999999999995</v>
      </c>
      <c r="AI109" s="601">
        <f t="shared" si="21"/>
        <v>385.5</v>
      </c>
      <c r="AJ109" s="602">
        <v>1015.3</v>
      </c>
    </row>
    <row r="125" spans="19:21" x14ac:dyDescent="0.3">
      <c r="U125" s="411">
        <v>6.5</v>
      </c>
    </row>
    <row r="127" spans="19:21" x14ac:dyDescent="0.3">
      <c r="S127" s="411">
        <v>3.1</v>
      </c>
    </row>
    <row r="128" spans="19:21" x14ac:dyDescent="0.3">
      <c r="S128" s="411">
        <v>2.1</v>
      </c>
    </row>
    <row r="129" spans="19:21" x14ac:dyDescent="0.3">
      <c r="S129" s="411">
        <v>2.4</v>
      </c>
    </row>
    <row r="130" spans="19:21" x14ac:dyDescent="0.3">
      <c r="S130" s="411">
        <v>2.6</v>
      </c>
      <c r="U130" s="411">
        <v>6.2</v>
      </c>
    </row>
    <row r="131" spans="19:21" x14ac:dyDescent="0.3">
      <c r="S131" s="411">
        <v>3.7</v>
      </c>
    </row>
    <row r="132" spans="19:21" x14ac:dyDescent="0.3">
      <c r="S132" s="411">
        <v>2.8</v>
      </c>
    </row>
    <row r="133" spans="19:21" x14ac:dyDescent="0.3">
      <c r="S133" s="411">
        <v>2.6</v>
      </c>
      <c r="U133" s="411">
        <v>11</v>
      </c>
    </row>
    <row r="134" spans="19:21" x14ac:dyDescent="0.3">
      <c r="S134" s="411">
        <v>3.1</v>
      </c>
      <c r="U134" s="411">
        <v>9.3000000000000007</v>
      </c>
    </row>
    <row r="135" spans="19:21" x14ac:dyDescent="0.3">
      <c r="S135" s="411">
        <v>4.2</v>
      </c>
    </row>
    <row r="136" spans="19:21" x14ac:dyDescent="0.3">
      <c r="U136" s="411">
        <v>10.9</v>
      </c>
    </row>
    <row r="137" spans="19:21" x14ac:dyDescent="0.3">
      <c r="U137" s="411">
        <v>11</v>
      </c>
    </row>
    <row r="138" spans="19:21" x14ac:dyDescent="0.3">
      <c r="U138" s="411">
        <v>7.2</v>
      </c>
    </row>
    <row r="139" spans="19:21" x14ac:dyDescent="0.3">
      <c r="S139" s="411">
        <v>3</v>
      </c>
      <c r="U139" s="411">
        <v>8.6999999999999993</v>
      </c>
    </row>
    <row r="140" spans="19:21" x14ac:dyDescent="0.3">
      <c r="S140" s="411">
        <v>4.3</v>
      </c>
    </row>
    <row r="141" spans="19:21" x14ac:dyDescent="0.3">
      <c r="S141" s="411">
        <v>5.6</v>
      </c>
      <c r="U141" s="411">
        <v>8.1</v>
      </c>
    </row>
    <row r="142" spans="19:21" x14ac:dyDescent="0.3">
      <c r="S142" s="411">
        <v>3.7</v>
      </c>
      <c r="U142" s="411">
        <v>6.5</v>
      </c>
    </row>
    <row r="143" spans="19:21" x14ac:dyDescent="0.3">
      <c r="S143" s="411">
        <v>2.8</v>
      </c>
      <c r="U143" s="411">
        <v>6.5</v>
      </c>
    </row>
    <row r="144" spans="19:21" x14ac:dyDescent="0.3">
      <c r="S144" s="411">
        <v>6.3</v>
      </c>
      <c r="U144" s="411">
        <v>10.7</v>
      </c>
    </row>
    <row r="145" spans="19:21" x14ac:dyDescent="0.3">
      <c r="S145" s="411">
        <v>2</v>
      </c>
      <c r="U145" s="411">
        <v>4.4000000000000004</v>
      </c>
    </row>
    <row r="146" spans="19:21" x14ac:dyDescent="0.3">
      <c r="S146" s="411">
        <v>3</v>
      </c>
      <c r="U146" s="411">
        <v>6.2</v>
      </c>
    </row>
    <row r="147" spans="19:21" x14ac:dyDescent="0.3">
      <c r="S147" s="411">
        <v>2.8</v>
      </c>
      <c r="U147" s="411">
        <v>5.8</v>
      </c>
    </row>
    <row r="148" spans="19:21" x14ac:dyDescent="0.3">
      <c r="S148" s="411">
        <v>3.5</v>
      </c>
      <c r="U148" s="411">
        <v>6.6</v>
      </c>
    </row>
    <row r="149" spans="19:21" x14ac:dyDescent="0.3">
      <c r="S149" s="411">
        <v>2.9</v>
      </c>
      <c r="U149" s="411">
        <v>5.3</v>
      </c>
    </row>
    <row r="150" spans="19:21" x14ac:dyDescent="0.3">
      <c r="S150" s="411">
        <v>1.7</v>
      </c>
      <c r="U150" s="411">
        <v>4.0999999999999996</v>
      </c>
    </row>
    <row r="151" spans="19:21" x14ac:dyDescent="0.3">
      <c r="S151" s="411">
        <v>1.9</v>
      </c>
      <c r="U151" s="411">
        <v>4</v>
      </c>
    </row>
    <row r="152" spans="19:21" x14ac:dyDescent="0.3">
      <c r="S152" s="411">
        <v>3.7</v>
      </c>
      <c r="U152" s="411">
        <v>6.2</v>
      </c>
    </row>
    <row r="153" spans="19:21" x14ac:dyDescent="0.3">
      <c r="S153" s="411">
        <v>2.2000000000000002</v>
      </c>
      <c r="U153" s="411">
        <v>5.0999999999999996</v>
      </c>
    </row>
    <row r="154" spans="19:21" x14ac:dyDescent="0.3">
      <c r="S154" s="411">
        <v>3.4</v>
      </c>
      <c r="U154" s="411">
        <v>5</v>
      </c>
    </row>
    <row r="155" spans="19:21" x14ac:dyDescent="0.3">
      <c r="S155" s="411">
        <v>1.9</v>
      </c>
      <c r="U155" s="411">
        <v>3.8</v>
      </c>
    </row>
    <row r="156" spans="19:21" x14ac:dyDescent="0.3">
      <c r="S156" s="411">
        <v>3.2</v>
      </c>
      <c r="U156" s="411">
        <v>6</v>
      </c>
    </row>
    <row r="157" spans="19:21" x14ac:dyDescent="0.3">
      <c r="S157" s="411">
        <v>1.7</v>
      </c>
      <c r="U157" s="411">
        <v>6</v>
      </c>
    </row>
    <row r="158" spans="19:21" x14ac:dyDescent="0.3">
      <c r="S158" s="411">
        <v>2.5</v>
      </c>
      <c r="U158" s="411">
        <v>6.2</v>
      </c>
    </row>
    <row r="159" spans="19:21" x14ac:dyDescent="0.3">
      <c r="U159" s="411">
        <v>8.9</v>
      </c>
    </row>
    <row r="160" spans="19:21" x14ac:dyDescent="0.3">
      <c r="U160" s="411">
        <v>10</v>
      </c>
    </row>
    <row r="161" spans="19:21" x14ac:dyDescent="0.3">
      <c r="S161" s="411">
        <v>2.2000000000000002</v>
      </c>
      <c r="U161" s="411">
        <v>9.4</v>
      </c>
    </row>
    <row r="162" spans="19:21" x14ac:dyDescent="0.3">
      <c r="S162" s="411">
        <v>1.9</v>
      </c>
      <c r="U162" s="411">
        <v>6.8</v>
      </c>
    </row>
    <row r="163" spans="19:21" x14ac:dyDescent="0.3">
      <c r="S163" s="411">
        <v>2.8</v>
      </c>
      <c r="U163" s="411">
        <v>9.5</v>
      </c>
    </row>
    <row r="164" spans="19:21" x14ac:dyDescent="0.3">
      <c r="S164" s="411">
        <v>1.4</v>
      </c>
      <c r="U164" s="411">
        <v>7.5</v>
      </c>
    </row>
    <row r="165" spans="19:21" x14ac:dyDescent="0.3">
      <c r="S165" s="411">
        <v>2.2999999999999998</v>
      </c>
      <c r="U165" s="411">
        <v>10.9</v>
      </c>
    </row>
    <row r="166" spans="19:21" x14ac:dyDescent="0.3">
      <c r="S166" s="411">
        <v>1.7</v>
      </c>
      <c r="U166" s="411">
        <v>8.8000000000000007</v>
      </c>
    </row>
    <row r="167" spans="19:21" x14ac:dyDescent="0.3">
      <c r="S167" s="411">
        <v>1.4</v>
      </c>
      <c r="U167" s="411">
        <v>10</v>
      </c>
    </row>
    <row r="168" spans="19:21" x14ac:dyDescent="0.3">
      <c r="S168" s="411">
        <v>3.1</v>
      </c>
      <c r="U168" s="411">
        <v>9.1999999999999993</v>
      </c>
    </row>
    <row r="169" spans="19:21" x14ac:dyDescent="0.3">
      <c r="S169" s="411">
        <v>3.7</v>
      </c>
      <c r="U169" s="411">
        <v>8.5</v>
      </c>
    </row>
    <row r="170" spans="19:21" x14ac:dyDescent="0.3">
      <c r="S170" s="411">
        <v>4.5999999999999996</v>
      </c>
      <c r="U170" s="411">
        <v>9.8000000000000007</v>
      </c>
    </row>
    <row r="171" spans="19:21" x14ac:dyDescent="0.3">
      <c r="S171" s="411">
        <v>2.2999999999999998</v>
      </c>
      <c r="U171" s="411">
        <v>9.3000000000000007</v>
      </c>
    </row>
    <row r="172" spans="19:21" x14ac:dyDescent="0.3">
      <c r="S172" s="411">
        <v>1.9</v>
      </c>
      <c r="U172" s="411">
        <v>13.2</v>
      </c>
    </row>
    <row r="173" spans="19:21" x14ac:dyDescent="0.3">
      <c r="S173" s="411">
        <v>2</v>
      </c>
      <c r="U173" s="411">
        <v>13.3</v>
      </c>
    </row>
    <row r="174" spans="19:21" x14ac:dyDescent="0.3">
      <c r="S174" s="411">
        <v>1.2</v>
      </c>
      <c r="U174" s="411">
        <v>10.6</v>
      </c>
    </row>
    <row r="175" spans="19:21" x14ac:dyDescent="0.3">
      <c r="S175" s="411">
        <v>2</v>
      </c>
      <c r="U175" s="411">
        <v>21.2</v>
      </c>
    </row>
    <row r="176" spans="19:21" x14ac:dyDescent="0.3">
      <c r="S176" s="411">
        <v>1.8</v>
      </c>
      <c r="U176" s="411">
        <v>18.600000000000001</v>
      </c>
    </row>
    <row r="177" spans="19:21" x14ac:dyDescent="0.3">
      <c r="S177" s="411">
        <v>1.5</v>
      </c>
      <c r="U177" s="411">
        <v>16.899999999999999</v>
      </c>
    </row>
    <row r="178" spans="19:21" x14ac:dyDescent="0.3">
      <c r="S178" s="411">
        <v>2.7</v>
      </c>
      <c r="U178" s="411">
        <v>18.899999999999999</v>
      </c>
    </row>
    <row r="179" spans="19:21" x14ac:dyDescent="0.3">
      <c r="S179" s="411">
        <v>2.4</v>
      </c>
      <c r="U179" s="411">
        <v>19.600000000000001</v>
      </c>
    </row>
    <row r="180" spans="19:21" x14ac:dyDescent="0.3">
      <c r="S180" s="411">
        <v>2.1</v>
      </c>
      <c r="U180" s="411">
        <v>18.899999999999999</v>
      </c>
    </row>
    <row r="181" spans="19:21" x14ac:dyDescent="0.3">
      <c r="S181" s="411">
        <v>2.1</v>
      </c>
      <c r="U181" s="411">
        <v>15.3</v>
      </c>
    </row>
  </sheetData>
  <mergeCells count="12">
    <mergeCell ref="AE8:AG8"/>
    <mergeCell ref="AH8:AJ8"/>
    <mergeCell ref="C7:AJ7"/>
    <mergeCell ref="D8:F8"/>
    <mergeCell ref="G8:I8"/>
    <mergeCell ref="J8:L8"/>
    <mergeCell ref="M8:O8"/>
    <mergeCell ref="P8:R8"/>
    <mergeCell ref="S8:U8"/>
    <mergeCell ref="V8:X8"/>
    <mergeCell ref="Y8:AA8"/>
    <mergeCell ref="AB8:AD8"/>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4117D-A4DA-4620-9F88-E9BC3D9D23D8}">
  <sheetPr codeName="Sheet27"/>
  <dimension ref="A1:DB510"/>
  <sheetViews>
    <sheetView showGridLines="0" topLeftCell="B1" zoomScale="85" zoomScaleNormal="85" workbookViewId="0">
      <selection activeCell="B1" sqref="B1"/>
    </sheetView>
  </sheetViews>
  <sheetFormatPr defaultColWidth="9.109375" defaultRowHeight="14.4" x14ac:dyDescent="0.3"/>
  <cols>
    <col min="1" max="1" width="5" hidden="1" customWidth="1"/>
    <col min="2" max="2" width="11.88671875" bestFit="1" customWidth="1"/>
    <col min="3" max="3" width="13.109375" customWidth="1"/>
    <col min="4" max="4" width="13.5546875" customWidth="1"/>
    <col min="5" max="5" width="12.44140625" customWidth="1"/>
    <col min="6" max="6" width="14.33203125" customWidth="1"/>
    <col min="7" max="7" width="8.88671875" customWidth="1"/>
    <col min="9" max="9" width="17.33203125" bestFit="1" customWidth="1"/>
    <col min="10" max="10" width="15.44140625" bestFit="1" customWidth="1"/>
    <col min="11" max="11" width="17.88671875" bestFit="1" customWidth="1"/>
    <col min="12" max="12" width="16.6640625" customWidth="1"/>
    <col min="13" max="13" width="7.109375" customWidth="1"/>
    <col min="14" max="14" width="9.109375" customWidth="1"/>
    <col min="15" max="15" width="17.33203125" bestFit="1" customWidth="1"/>
    <col min="16" max="16" width="15.44140625" bestFit="1" customWidth="1"/>
    <col min="17" max="17" width="17.88671875" bestFit="1" customWidth="1"/>
    <col min="18" max="18" width="16.6640625" customWidth="1"/>
  </cols>
  <sheetData>
    <row r="1" spans="1:106" x14ac:dyDescent="0.3">
      <c r="H1" s="3">
        <f>(LARGE(B10:B471,1))</f>
        <v>45444</v>
      </c>
      <c r="M1" s="65"/>
    </row>
    <row r="2" spans="1:106" x14ac:dyDescent="0.3">
      <c r="H2" s="3">
        <f>MATCH(H1,B10:B471,0)+8</f>
        <v>108</v>
      </c>
    </row>
    <row r="3" spans="1:106" x14ac:dyDescent="0.3">
      <c r="H3" s="3" t="str">
        <f ca="1">IF(MONTH(INDIRECT(CONCATENATE("B",H2)))=12, "Calendar Year", "Financial year")</f>
        <v>Financial year</v>
      </c>
    </row>
    <row r="5" spans="1:106" ht="15" thickBot="1" x14ac:dyDescent="0.35"/>
    <row r="6" spans="1:106" ht="15" thickBot="1" x14ac:dyDescent="0.35">
      <c r="B6" s="169" t="s">
        <v>116</v>
      </c>
      <c r="C6" s="170" t="s">
        <v>117</v>
      </c>
    </row>
    <row r="7" spans="1:106" x14ac:dyDescent="0.3">
      <c r="A7" s="14"/>
      <c r="B7" s="14"/>
      <c r="C7" s="14"/>
      <c r="D7" s="14"/>
      <c r="E7" s="14"/>
      <c r="F7" s="14"/>
      <c r="G7" s="14"/>
      <c r="H7" s="171"/>
      <c r="I7" s="14"/>
      <c r="J7" s="14"/>
      <c r="K7" s="14"/>
      <c r="L7" s="14"/>
      <c r="M7" s="14"/>
      <c r="N7" s="14"/>
      <c r="O7" s="14"/>
      <c r="P7" s="14"/>
      <c r="Q7" s="14"/>
      <c r="R7" s="14"/>
      <c r="S7" s="14"/>
      <c r="T7" s="14"/>
      <c r="U7" s="14"/>
      <c r="V7" s="14"/>
      <c r="W7" s="14"/>
      <c r="X7" s="14"/>
      <c r="Y7" s="14"/>
      <c r="Z7" s="14"/>
      <c r="AA7" s="14"/>
      <c r="AB7" s="14"/>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52"/>
      <c r="BZ7" s="52"/>
      <c r="CA7" s="52"/>
      <c r="CB7" s="52"/>
      <c r="CC7" s="62"/>
      <c r="CD7" s="52"/>
      <c r="CE7" s="52"/>
      <c r="CF7" s="52"/>
      <c r="CG7" s="52"/>
      <c r="CH7" s="52"/>
      <c r="CI7" s="52"/>
      <c r="CJ7" s="52"/>
      <c r="CK7" s="52"/>
      <c r="CL7" s="52"/>
      <c r="CM7" s="52"/>
      <c r="CN7" s="52"/>
      <c r="CO7" s="52"/>
      <c r="CP7" s="52"/>
      <c r="CQ7" s="52"/>
      <c r="CR7" s="52"/>
      <c r="CS7" s="52"/>
      <c r="CT7" s="52"/>
      <c r="CU7" s="52"/>
      <c r="CV7" s="52"/>
      <c r="CW7" s="52"/>
      <c r="CX7" s="52"/>
      <c r="CY7" s="52"/>
      <c r="CZ7" s="52"/>
      <c r="DA7" s="52"/>
      <c r="DB7" s="52"/>
    </row>
    <row r="8" spans="1:106" ht="15" thickBot="1" x14ac:dyDescent="0.35">
      <c r="B8" s="647" t="str">
        <f>IF(C6="Total", "", C6) &amp; " Mineral Exploration Expenditure"</f>
        <v xml:space="preserve"> Mineral Exploration Expenditure</v>
      </c>
      <c r="C8" s="647"/>
      <c r="D8" s="647"/>
      <c r="E8" s="647"/>
      <c r="F8" s="647"/>
      <c r="H8" s="647" t="s">
        <v>111</v>
      </c>
      <c r="I8" s="647"/>
      <c r="J8" s="647"/>
      <c r="K8" s="647"/>
      <c r="L8" s="647"/>
      <c r="M8" s="172"/>
      <c r="N8" s="647" t="s">
        <v>72</v>
      </c>
      <c r="O8" s="647"/>
      <c r="P8" s="647"/>
      <c r="Q8" s="647"/>
      <c r="R8" s="647"/>
    </row>
    <row r="9" spans="1:106" ht="59.25" customHeight="1" x14ac:dyDescent="0.3">
      <c r="B9" s="173" t="s">
        <v>112</v>
      </c>
      <c r="C9" s="174" t="s">
        <v>683</v>
      </c>
      <c r="D9" s="175" t="s">
        <v>686</v>
      </c>
      <c r="E9" s="174" t="s">
        <v>687</v>
      </c>
      <c r="F9" s="176" t="s">
        <v>98</v>
      </c>
      <c r="G9" s="15"/>
      <c r="H9" s="177" t="s">
        <v>73</v>
      </c>
      <c r="I9" s="174" t="s">
        <v>683</v>
      </c>
      <c r="J9" s="175" t="s">
        <v>686</v>
      </c>
      <c r="K9" s="174" t="s">
        <v>687</v>
      </c>
      <c r="L9" s="176" t="s">
        <v>98</v>
      </c>
      <c r="M9" s="178"/>
      <c r="N9" s="177" t="s">
        <v>73</v>
      </c>
      <c r="O9" s="174" t="s">
        <v>683</v>
      </c>
      <c r="P9" s="175" t="s">
        <v>686</v>
      </c>
      <c r="Q9" s="174" t="s">
        <v>687</v>
      </c>
      <c r="R9" s="176" t="s">
        <v>98</v>
      </c>
      <c r="S9" s="15"/>
      <c r="T9" s="15"/>
      <c r="U9" s="15"/>
      <c r="V9" s="15"/>
      <c r="W9" s="15"/>
      <c r="X9" s="15"/>
      <c r="Y9" s="15"/>
      <c r="Z9" s="15"/>
      <c r="AA9" s="15"/>
      <c r="AB9" s="15"/>
      <c r="AC9" s="15"/>
      <c r="AD9" s="15"/>
      <c r="AE9" s="15"/>
      <c r="AF9" s="15"/>
    </row>
    <row r="10" spans="1:106" x14ac:dyDescent="0.3">
      <c r="A10">
        <f>YEAR(B10)</f>
        <v>1999</v>
      </c>
      <c r="B10" s="179">
        <v>36404</v>
      </c>
      <c r="C10" s="622">
        <f ca="1">IF(ISBLANK(OFFSET('Min. Expl. By Commodity (Data)'!D10, 0, VLOOKUP($C$6, 'Min. Expl. By Commodity (Data)'!$A$9:$B$19, 2, FALSE))),
        "",
        OFFSET('Min. Expl. By Commodity (Data)'!D10, 0, VLOOKUP($C$6, 'Min. Expl. By Commodity (Data)'!$A$9:$B$19, 2, FALSE))
)</f>
        <v>107.9</v>
      </c>
      <c r="D10" s="19">
        <f ca="1">IF(ISBLANK(OFFSET('Min. Expl. By Commodity (Data)'!E10, 0, VLOOKUP($C$6, 'Min. Expl. By Commodity (Data)'!$A$9:$B$19, 2, FALSE))),
        "",
        OFFSET('Min. Expl. By Commodity (Data)'!E10, 0, VLOOKUP($C$6, 'Min. Expl. By Commodity (Data)'!$A$9:$B$19, 2, FALSE))
)</f>
        <v>72.199999999999989</v>
      </c>
      <c r="E10" s="18">
        <f ca="1">IF(ISBLANK(OFFSET('Min. Expl. By Commodity (Data)'!F10, 0, VLOOKUP($C$6, 'Min. Expl. By Commodity (Data)'!$A$9:$B$19, 2, FALSE))),
        "",
        OFFSET('Min. Expl. By Commodity (Data)'!F10, 0, VLOOKUP($C$6, 'Min. Expl. By Commodity (Data)'!$A$9:$B$19, 2, FALSE))
)</f>
        <v>180.1</v>
      </c>
      <c r="F10" s="180">
        <f t="shared" ref="F10:F73" ca="1" si="0">IF(OR(C10="", E10=""), "n/a", C10/E10)</f>
        <v>0.59911160466407554</v>
      </c>
      <c r="H10" s="181">
        <f t="shared" ref="H10:H17" si="1">H11-1</f>
        <v>2014</v>
      </c>
      <c r="I10" s="182">
        <f ca="1">SUMIF($A:$A,$H10,$C:$C)</f>
        <v>1045.3</v>
      </c>
      <c r="J10" s="113">
        <f t="shared" ref="J10:J19" ca="1" si="2">K10-I10</f>
        <v>794.2</v>
      </c>
      <c r="K10" s="182">
        <f ca="1">SUMIF($A:$A,$H10,$E:$E)</f>
        <v>1839.5</v>
      </c>
      <c r="L10" s="183">
        <f t="shared" ref="L10:L19" ca="1" si="3">IF(K10=0, "n/a", I10/K10)</f>
        <v>0.56825224245718942</v>
      </c>
      <c r="M10" s="126"/>
      <c r="N10" s="184" t="str">
        <f>LEFT(N11,4)-1 &amp; "-" &amp; RIGHT(LEFT(N11,4), 2)</f>
        <v>2014-15</v>
      </c>
      <c r="O10" s="76">
        <f ca="1">SUMIFS(C:C, $B:$B, "&gt;=" &amp; DATE(LEFT($N10, 4), 7, 1), $B:$B, "&lt;" &amp; DATE(LEFT($N10, 4)+1, 7, 1))</f>
        <v>917.40000000000009</v>
      </c>
      <c r="P10" s="76">
        <f t="shared" ref="P10:P19" ca="1" si="4">Q10-O10</f>
        <v>661.29999999999973</v>
      </c>
      <c r="Q10" s="76">
        <f t="shared" ref="Q10:Q19" ca="1" si="5">SUMIFS(E:E, $B:$B, "&gt;=" &amp; DATE(LEFT($N10, 4), 7, 1), $B:$B, "&lt;" &amp; DATE(LEFT($N10, 4)+1, 7, 1))</f>
        <v>1578.6999999999998</v>
      </c>
      <c r="R10" s="185">
        <f t="shared" ref="R10:R19" ca="1" si="6">IF(Q10=0, "n/a", O10/Q10)</f>
        <v>0.58111104072971442</v>
      </c>
    </row>
    <row r="11" spans="1:106" x14ac:dyDescent="0.3">
      <c r="A11">
        <f t="shared" ref="A11:A74" si="7">YEAR(B11)</f>
        <v>1999</v>
      </c>
      <c r="B11" s="179">
        <v>36495</v>
      </c>
      <c r="C11" s="186">
        <f ca="1">IF(ISBLANK(OFFSET('Min. Expl. By Commodity (Data)'!D11, 0, VLOOKUP($C$6, 'Min. Expl. By Commodity (Data)'!$A$9:$B$19, 2, FALSE))),
        "",
        OFFSET('Min. Expl. By Commodity (Data)'!D11, 0, VLOOKUP($C$6, 'Min. Expl. By Commodity (Data)'!$A$9:$B$19, 2, FALSE))
)</f>
        <v>108.8</v>
      </c>
      <c r="D11" s="187">
        <f ca="1">IF(ISBLANK(OFFSET('Min. Expl. By Commodity (Data)'!E11, 0, VLOOKUP($C$6, 'Min. Expl. By Commodity (Data)'!$A$9:$B$19, 2, FALSE))),
        "",
        OFFSET('Min. Expl. By Commodity (Data)'!E11, 0, VLOOKUP($C$6, 'Min. Expl. By Commodity (Data)'!$A$9:$B$19, 2, FALSE))
)</f>
        <v>68.100000000000009</v>
      </c>
      <c r="E11" s="186">
        <f ca="1">IF(ISBLANK(OFFSET('Min. Expl. By Commodity (Data)'!F11, 0, VLOOKUP($C$6, 'Min. Expl. By Commodity (Data)'!$A$9:$B$19, 2, FALSE))),
        "",
        OFFSET('Min. Expl. By Commodity (Data)'!F11, 0, VLOOKUP($C$6, 'Min. Expl. By Commodity (Data)'!$A$9:$B$19, 2, FALSE))
)</f>
        <v>176.9</v>
      </c>
      <c r="F11" s="188">
        <f t="shared" ca="1" si="0"/>
        <v>0.61503674392312035</v>
      </c>
      <c r="H11" s="189">
        <f t="shared" si="1"/>
        <v>2015</v>
      </c>
      <c r="I11" s="190">
        <f t="shared" ref="I11:I19" ca="1" si="8">SUMIF($A:$A,$H11,$C:$C)</f>
        <v>843.7</v>
      </c>
      <c r="J11" s="191">
        <f t="shared" ca="1" si="2"/>
        <v>594.89999999999986</v>
      </c>
      <c r="K11" s="190">
        <f t="shared" ref="K11:K19" ca="1" si="9">SUMIF($A:$A,$H11,$E:$E)</f>
        <v>1438.6</v>
      </c>
      <c r="L11" s="192">
        <f t="shared" ca="1" si="3"/>
        <v>0.58647295982204928</v>
      </c>
      <c r="M11" s="126"/>
      <c r="N11" s="184" t="str">
        <f t="shared" ref="N11:N18" si="10">LEFT(N12,4)-1 &amp; "-" &amp; RIGHT(LEFT(N12,4), 2)</f>
        <v>2015-16</v>
      </c>
      <c r="O11" s="193">
        <f t="shared" ref="O11:O19" ca="1" si="11">SUMIFS(C:C, $B:$B, "&gt;=" &amp; DATE(LEFT($N11, 4), 7, 1), $B:$B, "&lt;" &amp; DATE(LEFT($N11, 4)+1, 7, 1))</f>
        <v>871</v>
      </c>
      <c r="P11" s="193">
        <f t="shared" ca="1" si="4"/>
        <v>550.09999999999991</v>
      </c>
      <c r="Q11" s="193">
        <f t="shared" ca="1" si="5"/>
        <v>1421.1</v>
      </c>
      <c r="R11" s="194">
        <f t="shared" ca="1" si="6"/>
        <v>0.61290549574273456</v>
      </c>
    </row>
    <row r="12" spans="1:106" x14ac:dyDescent="0.3">
      <c r="A12">
        <f t="shared" si="7"/>
        <v>2000</v>
      </c>
      <c r="B12" s="179">
        <v>36586</v>
      </c>
      <c r="C12" s="18">
        <f ca="1">IF(ISBLANK(OFFSET('Min. Expl. By Commodity (Data)'!D12, 0, VLOOKUP($C$6, 'Min. Expl. By Commodity (Data)'!$A$9:$B$19, 2, FALSE))),
        "",
        OFFSET('Min. Expl. By Commodity (Data)'!D12, 0, VLOOKUP($C$6, 'Min. Expl. By Commodity (Data)'!$A$9:$B$19, 2, FALSE))
)</f>
        <v>85</v>
      </c>
      <c r="D12" s="19">
        <f ca="1">IF(ISBLANK(OFFSET('Min. Expl. By Commodity (Data)'!E12, 0, VLOOKUP($C$6, 'Min. Expl. By Commodity (Data)'!$A$9:$B$19, 2, FALSE))),
        "",
        OFFSET('Min. Expl. By Commodity (Data)'!E12, 0, VLOOKUP($C$6, 'Min. Expl. By Commodity (Data)'!$A$9:$B$19, 2, FALSE))
)</f>
        <v>51.699999999999989</v>
      </c>
      <c r="E12" s="18">
        <f ca="1">IF(ISBLANK(OFFSET('Min. Expl. By Commodity (Data)'!F12, 0, VLOOKUP($C$6, 'Min. Expl. By Commodity (Data)'!$A$9:$B$19, 2, FALSE))),
        "",
        OFFSET('Min. Expl. By Commodity (Data)'!F12, 0, VLOOKUP($C$6, 'Min. Expl. By Commodity (Data)'!$A$9:$B$19, 2, FALSE))
)</f>
        <v>136.69999999999999</v>
      </c>
      <c r="F12" s="180">
        <f t="shared" ca="1" si="0"/>
        <v>0.62179956108266277</v>
      </c>
      <c r="H12" s="181">
        <f t="shared" si="1"/>
        <v>2016</v>
      </c>
      <c r="I12" s="182">
        <f t="shared" ca="1" si="8"/>
        <v>927.59999999999991</v>
      </c>
      <c r="J12" s="113">
        <f t="shared" ca="1" si="2"/>
        <v>499.30000000000018</v>
      </c>
      <c r="K12" s="182">
        <f t="shared" ca="1" si="9"/>
        <v>1426.9</v>
      </c>
      <c r="L12" s="183">
        <f t="shared" ca="1" si="3"/>
        <v>0.65008059429532539</v>
      </c>
      <c r="M12" s="126"/>
      <c r="N12" s="184" t="str">
        <f t="shared" si="10"/>
        <v>2016-17</v>
      </c>
      <c r="O12" s="76">
        <f t="shared" ca="1" si="11"/>
        <v>1028.3</v>
      </c>
      <c r="P12" s="76">
        <f t="shared" ca="1" si="4"/>
        <v>536.79999999999995</v>
      </c>
      <c r="Q12" s="76">
        <f t="shared" ca="1" si="5"/>
        <v>1565.1</v>
      </c>
      <c r="R12" s="185">
        <f t="shared" ca="1" si="6"/>
        <v>0.6570187208485081</v>
      </c>
    </row>
    <row r="13" spans="1:106" x14ac:dyDescent="0.3">
      <c r="A13">
        <f t="shared" si="7"/>
        <v>2000</v>
      </c>
      <c r="B13" s="179">
        <v>36678</v>
      </c>
      <c r="C13" s="186">
        <f ca="1">IF(ISBLANK(OFFSET('Min. Expl. By Commodity (Data)'!D13, 0, VLOOKUP($C$6, 'Min. Expl. By Commodity (Data)'!$A$9:$B$19, 2, FALSE))),
        "",
        OFFSET('Min. Expl. By Commodity (Data)'!D13, 0, VLOOKUP($C$6, 'Min. Expl. By Commodity (Data)'!$A$9:$B$19, 2, FALSE))
)</f>
        <v>113.3</v>
      </c>
      <c r="D13" s="187">
        <f ca="1">IF(ISBLANK(OFFSET('Min. Expl. By Commodity (Data)'!E13, 0, VLOOKUP($C$6, 'Min. Expl. By Commodity (Data)'!$A$9:$B$19, 2, FALSE))),
        "",
        OFFSET('Min. Expl. By Commodity (Data)'!E13, 0, VLOOKUP($C$6, 'Min. Expl. By Commodity (Data)'!$A$9:$B$19, 2, FALSE))
)</f>
        <v>69.399999999999991</v>
      </c>
      <c r="E13" s="186">
        <f ca="1">IF(ISBLANK(OFFSET('Min. Expl. By Commodity (Data)'!F13, 0, VLOOKUP($C$6, 'Min. Expl. By Commodity (Data)'!$A$9:$B$19, 2, FALSE))),
        "",
        OFFSET('Min. Expl. By Commodity (Data)'!F13, 0, VLOOKUP($C$6, 'Min. Expl. By Commodity (Data)'!$A$9:$B$19, 2, FALSE))
)</f>
        <v>182.7</v>
      </c>
      <c r="F13" s="188">
        <f t="shared" ca="1" si="0"/>
        <v>0.62014230979748219</v>
      </c>
      <c r="H13" s="189">
        <f t="shared" si="1"/>
        <v>2017</v>
      </c>
      <c r="I13" s="190">
        <f t="shared" ca="1" si="8"/>
        <v>1108.7</v>
      </c>
      <c r="J13" s="191">
        <f t="shared" ca="1" si="2"/>
        <v>645.10000000000014</v>
      </c>
      <c r="K13" s="190">
        <f t="shared" ca="1" si="9"/>
        <v>1753.8000000000002</v>
      </c>
      <c r="L13" s="192">
        <f t="shared" ca="1" si="3"/>
        <v>0.63217014482837264</v>
      </c>
      <c r="M13" s="126"/>
      <c r="N13" s="184" t="str">
        <f t="shared" si="10"/>
        <v>2017-18</v>
      </c>
      <c r="O13" s="193">
        <f t="shared" ca="1" si="11"/>
        <v>1203.5</v>
      </c>
      <c r="P13" s="193">
        <f t="shared" ca="1" si="4"/>
        <v>774.3</v>
      </c>
      <c r="Q13" s="193">
        <f t="shared" ca="1" si="5"/>
        <v>1977.8</v>
      </c>
      <c r="R13" s="194">
        <f t="shared" ca="1" si="6"/>
        <v>0.60850439882697949</v>
      </c>
    </row>
    <row r="14" spans="1:106" x14ac:dyDescent="0.3">
      <c r="A14">
        <f t="shared" si="7"/>
        <v>2000</v>
      </c>
      <c r="B14" s="179">
        <v>36770</v>
      </c>
      <c r="C14" s="18">
        <f ca="1">IF(ISBLANK(OFFSET('Min. Expl. By Commodity (Data)'!D14, 0, VLOOKUP($C$6, 'Min. Expl. By Commodity (Data)'!$A$9:$B$19, 2, FALSE))),
        "",
        OFFSET('Min. Expl. By Commodity (Data)'!D14, 0, VLOOKUP($C$6, 'Min. Expl. By Commodity (Data)'!$A$9:$B$19, 2, FALSE))
)</f>
        <v>104.4</v>
      </c>
      <c r="D14" s="19">
        <f ca="1">IF(ISBLANK(OFFSET('Min. Expl. By Commodity (Data)'!E14, 0, VLOOKUP($C$6, 'Min. Expl. By Commodity (Data)'!$A$9:$B$19, 2, FALSE))),
        "",
        OFFSET('Min. Expl. By Commodity (Data)'!E14, 0, VLOOKUP($C$6, 'Min. Expl. By Commodity (Data)'!$A$9:$B$19, 2, FALSE))
)</f>
        <v>65.400000000000006</v>
      </c>
      <c r="E14" s="18">
        <f ca="1">IF(ISBLANK(OFFSET('Min. Expl. By Commodity (Data)'!F14, 0, VLOOKUP($C$6, 'Min. Expl. By Commodity (Data)'!$A$9:$B$19, 2, FALSE))),
        "",
        OFFSET('Min. Expl. By Commodity (Data)'!F14, 0, VLOOKUP($C$6, 'Min. Expl. By Commodity (Data)'!$A$9:$B$19, 2, FALSE))
)</f>
        <v>169.8</v>
      </c>
      <c r="F14" s="180">
        <f t="shared" ca="1" si="0"/>
        <v>0.61484098939929333</v>
      </c>
      <c r="H14" s="181">
        <f t="shared" si="1"/>
        <v>2018</v>
      </c>
      <c r="I14" s="182">
        <f t="shared" ca="1" si="8"/>
        <v>1318.1</v>
      </c>
      <c r="J14" s="113">
        <f t="shared" ca="1" si="2"/>
        <v>865.50000000000045</v>
      </c>
      <c r="K14" s="182">
        <f t="shared" ca="1" si="9"/>
        <v>2183.6000000000004</v>
      </c>
      <c r="L14" s="183">
        <f t="shared" ca="1" si="3"/>
        <v>0.60363619710569683</v>
      </c>
      <c r="M14" s="126"/>
      <c r="N14" s="184" t="str">
        <f t="shared" si="10"/>
        <v>2018-19</v>
      </c>
      <c r="O14" s="76">
        <f t="shared" ca="1" si="11"/>
        <v>1441.9</v>
      </c>
      <c r="P14" s="76">
        <f t="shared" ca="1" si="4"/>
        <v>905.69999999999982</v>
      </c>
      <c r="Q14" s="76">
        <f t="shared" ca="1" si="5"/>
        <v>2347.6</v>
      </c>
      <c r="R14" s="185">
        <f t="shared" ca="1" si="6"/>
        <v>0.61420173794513555</v>
      </c>
    </row>
    <row r="15" spans="1:106" x14ac:dyDescent="0.3">
      <c r="A15">
        <f t="shared" si="7"/>
        <v>2000</v>
      </c>
      <c r="B15" s="179">
        <v>36861</v>
      </c>
      <c r="C15" s="186">
        <f ca="1">IF(ISBLANK(OFFSET('Min. Expl. By Commodity (Data)'!D15, 0, VLOOKUP($C$6, 'Min. Expl. By Commodity (Data)'!$A$9:$B$19, 2, FALSE))),
        "",
        OFFSET('Min. Expl. By Commodity (Data)'!D15, 0, VLOOKUP($C$6, 'Min. Expl. By Commodity (Data)'!$A$9:$B$19, 2, FALSE))
)</f>
        <v>118</v>
      </c>
      <c r="D15" s="187">
        <f ca="1">IF(ISBLANK(OFFSET('Min. Expl. By Commodity (Data)'!E15, 0, VLOOKUP($C$6, 'Min. Expl. By Commodity (Data)'!$A$9:$B$19, 2, FALSE))),
        "",
        OFFSET('Min. Expl. By Commodity (Data)'!E15, 0, VLOOKUP($C$6, 'Min. Expl. By Commodity (Data)'!$A$9:$B$19, 2, FALSE))
)</f>
        <v>69.199999999999989</v>
      </c>
      <c r="E15" s="186">
        <f ca="1">IF(ISBLANK(OFFSET('Min. Expl. By Commodity (Data)'!F15, 0, VLOOKUP($C$6, 'Min. Expl. By Commodity (Data)'!$A$9:$B$19, 2, FALSE))),
        "",
        OFFSET('Min. Expl. By Commodity (Data)'!F15, 0, VLOOKUP($C$6, 'Min. Expl. By Commodity (Data)'!$A$9:$B$19, 2, FALSE))
)</f>
        <v>187.2</v>
      </c>
      <c r="F15" s="188">
        <f t="shared" ca="1" si="0"/>
        <v>0.63034188034188043</v>
      </c>
      <c r="H15" s="189">
        <f t="shared" si="1"/>
        <v>2019</v>
      </c>
      <c r="I15" s="190">
        <f t="shared" ca="1" si="8"/>
        <v>1648.1999999999998</v>
      </c>
      <c r="J15" s="191">
        <f t="shared" ca="1" si="2"/>
        <v>1000.2000000000003</v>
      </c>
      <c r="K15" s="190">
        <f t="shared" ca="1" si="9"/>
        <v>2648.4</v>
      </c>
      <c r="L15" s="192">
        <f t="shared" ca="1" si="3"/>
        <v>0.6223380154055278</v>
      </c>
      <c r="M15" s="126"/>
      <c r="N15" s="184" t="str">
        <f t="shared" si="10"/>
        <v>2019-20</v>
      </c>
      <c r="O15" s="193">
        <f t="shared" ca="1" si="11"/>
        <v>1693.1</v>
      </c>
      <c r="P15" s="193">
        <f t="shared" ca="1" si="4"/>
        <v>1078.7000000000003</v>
      </c>
      <c r="Q15" s="193">
        <f t="shared" ca="1" si="5"/>
        <v>2771.8</v>
      </c>
      <c r="R15" s="194">
        <f t="shared" ca="1" si="6"/>
        <v>0.61083050725160537</v>
      </c>
    </row>
    <row r="16" spans="1:106" x14ac:dyDescent="0.3">
      <c r="A16">
        <f t="shared" si="7"/>
        <v>2001</v>
      </c>
      <c r="B16" s="179">
        <v>36951</v>
      </c>
      <c r="C16" s="18">
        <f ca="1">IF(ISBLANK(OFFSET('Min. Expl. By Commodity (Data)'!D16, 0, VLOOKUP($C$6, 'Min. Expl. By Commodity (Data)'!$A$9:$B$19, 2, FALSE))),
        "",
        OFFSET('Min. Expl. By Commodity (Data)'!D16, 0, VLOOKUP($C$6, 'Min. Expl. By Commodity (Data)'!$A$9:$B$19, 2, FALSE))
)</f>
        <v>90.8</v>
      </c>
      <c r="D16" s="19">
        <f ca="1">IF(ISBLANK(OFFSET('Min. Expl. By Commodity (Data)'!E16, 0, VLOOKUP($C$6, 'Min. Expl. By Commodity (Data)'!$A$9:$B$19, 2, FALSE))),
        "",
        OFFSET('Min. Expl. By Commodity (Data)'!E16, 0, VLOOKUP($C$6, 'Min. Expl. By Commodity (Data)'!$A$9:$B$19, 2, FALSE))
)</f>
        <v>52.7</v>
      </c>
      <c r="E16" s="18">
        <f ca="1">IF(ISBLANK(OFFSET('Min. Expl. By Commodity (Data)'!F16, 0, VLOOKUP($C$6, 'Min. Expl. By Commodity (Data)'!$A$9:$B$19, 2, FALSE))),
        "",
        OFFSET('Min. Expl. By Commodity (Data)'!F16, 0, VLOOKUP($C$6, 'Min. Expl. By Commodity (Data)'!$A$9:$B$19, 2, FALSE))
)</f>
        <v>143.5</v>
      </c>
      <c r="F16" s="180">
        <f t="shared" ca="1" si="0"/>
        <v>0.63275261324041809</v>
      </c>
      <c r="H16" s="181">
        <f t="shared" si="1"/>
        <v>2020</v>
      </c>
      <c r="I16" s="182">
        <f t="shared" ca="1" si="8"/>
        <v>1757.5</v>
      </c>
      <c r="J16" s="113">
        <f t="shared" ca="1" si="2"/>
        <v>1051.3000000000002</v>
      </c>
      <c r="K16" s="182">
        <f t="shared" ca="1" si="9"/>
        <v>2808.8</v>
      </c>
      <c r="L16" s="183">
        <f t="shared" ca="1" si="3"/>
        <v>0.62571204784961543</v>
      </c>
      <c r="M16" s="126"/>
      <c r="N16" s="184" t="str">
        <f t="shared" si="10"/>
        <v>2020-21</v>
      </c>
      <c r="O16" s="76">
        <f t="shared" ca="1" si="11"/>
        <v>2052.1</v>
      </c>
      <c r="P16" s="76">
        <f t="shared" ca="1" si="4"/>
        <v>1109.5999999999999</v>
      </c>
      <c r="Q16" s="76">
        <f t="shared" ca="1" si="5"/>
        <v>3161.7</v>
      </c>
      <c r="R16" s="185">
        <f t="shared" ca="1" si="6"/>
        <v>0.64904956194452357</v>
      </c>
    </row>
    <row r="17" spans="1:21" x14ac:dyDescent="0.3">
      <c r="A17">
        <f t="shared" si="7"/>
        <v>2001</v>
      </c>
      <c r="B17" s="179">
        <v>37043</v>
      </c>
      <c r="C17" s="186">
        <f ca="1">IF(ISBLANK(OFFSET('Min. Expl. By Commodity (Data)'!D17, 0, VLOOKUP($C$6, 'Min. Expl. By Commodity (Data)'!$A$9:$B$19, 2, FALSE))),
        "",
        OFFSET('Min. Expl. By Commodity (Data)'!D17, 0, VLOOKUP($C$6, 'Min. Expl. By Commodity (Data)'!$A$9:$B$19, 2, FALSE))
)</f>
        <v>110.9</v>
      </c>
      <c r="D17" s="187">
        <f ca="1">IF(ISBLANK(OFFSET('Min. Expl. By Commodity (Data)'!E17, 0, VLOOKUP($C$6, 'Min. Expl. By Commodity (Data)'!$A$9:$B$19, 2, FALSE))),
        "",
        OFFSET('Min. Expl. By Commodity (Data)'!E17, 0, VLOOKUP($C$6, 'Min. Expl. By Commodity (Data)'!$A$9:$B$19, 2, FALSE))
)</f>
        <v>71.900000000000006</v>
      </c>
      <c r="E17" s="186">
        <f ca="1">IF(ISBLANK(OFFSET('Min. Expl. By Commodity (Data)'!F17, 0, VLOOKUP($C$6, 'Min. Expl. By Commodity (Data)'!$A$9:$B$19, 2, FALSE))),
        "",
        OFFSET('Min. Expl. By Commodity (Data)'!F17, 0, VLOOKUP($C$6, 'Min. Expl. By Commodity (Data)'!$A$9:$B$19, 2, FALSE))
)</f>
        <v>182.8</v>
      </c>
      <c r="F17" s="188">
        <f t="shared" ca="1" si="0"/>
        <v>0.60667396061269141</v>
      </c>
      <c r="H17" s="189">
        <f t="shared" si="1"/>
        <v>2021</v>
      </c>
      <c r="I17" s="190">
        <f t="shared" ca="1" si="8"/>
        <v>2351.3999999999996</v>
      </c>
      <c r="J17" s="191">
        <f t="shared" ca="1" si="2"/>
        <v>1244.7000000000007</v>
      </c>
      <c r="K17" s="190">
        <f t="shared" ca="1" si="9"/>
        <v>3596.1000000000004</v>
      </c>
      <c r="L17" s="192">
        <f t="shared" ca="1" si="3"/>
        <v>0.65387503128389068</v>
      </c>
      <c r="M17" s="126"/>
      <c r="N17" s="184" t="str">
        <f t="shared" si="10"/>
        <v>2021-22</v>
      </c>
      <c r="O17" s="193">
        <f t="shared" ca="1" si="11"/>
        <v>2478.6</v>
      </c>
      <c r="P17" s="193">
        <f t="shared" ca="1" si="4"/>
        <v>1383.3000000000006</v>
      </c>
      <c r="Q17" s="193">
        <f t="shared" ca="1" si="5"/>
        <v>3861.9000000000005</v>
      </c>
      <c r="R17" s="194">
        <f t="shared" ca="1" si="6"/>
        <v>0.6418084362619435</v>
      </c>
    </row>
    <row r="18" spans="1:21" x14ac:dyDescent="0.3">
      <c r="A18">
        <f t="shared" si="7"/>
        <v>2001</v>
      </c>
      <c r="B18" s="179">
        <v>37135</v>
      </c>
      <c r="C18" s="18">
        <f ca="1">IF(ISBLANK(OFFSET('Min. Expl. By Commodity (Data)'!D18, 0, VLOOKUP($C$6, 'Min. Expl. By Commodity (Data)'!$A$9:$B$19, 2, FALSE))),
        "",
        OFFSET('Min. Expl. By Commodity (Data)'!D18, 0, VLOOKUP($C$6, 'Min. Expl. By Commodity (Data)'!$A$9:$B$19, 2, FALSE))
)</f>
        <v>103.3</v>
      </c>
      <c r="D18" s="19">
        <f ca="1">IF(ISBLANK(OFFSET('Min. Expl. By Commodity (Data)'!E18, 0, VLOOKUP($C$6, 'Min. Expl. By Commodity (Data)'!$A$9:$B$19, 2, FALSE))),
        "",
        OFFSET('Min. Expl. By Commodity (Data)'!E18, 0, VLOOKUP($C$6, 'Min. Expl. By Commodity (Data)'!$A$9:$B$19, 2, FALSE))
)</f>
        <v>64.100000000000009</v>
      </c>
      <c r="E18" s="18">
        <f ca="1">IF(ISBLANK(OFFSET('Min. Expl. By Commodity (Data)'!F18, 0, VLOOKUP($C$6, 'Min. Expl. By Commodity (Data)'!$A$9:$B$19, 2, FALSE))),
        "",
        OFFSET('Min. Expl. By Commodity (Data)'!F18, 0, VLOOKUP($C$6, 'Min. Expl. By Commodity (Data)'!$A$9:$B$19, 2, FALSE))
)</f>
        <v>167.4</v>
      </c>
      <c r="F18" s="180">
        <f t="shared" ca="1" si="0"/>
        <v>0.61708482676224607</v>
      </c>
      <c r="H18" s="181">
        <f>H19-1</f>
        <v>2022</v>
      </c>
      <c r="I18" s="182">
        <f t="shared" ca="1" si="8"/>
        <v>2546.8000000000002</v>
      </c>
      <c r="J18" s="113">
        <f t="shared" ca="1" si="2"/>
        <v>1513.2999999999993</v>
      </c>
      <c r="K18" s="182">
        <f t="shared" ca="1" si="9"/>
        <v>4060.0999999999995</v>
      </c>
      <c r="L18" s="183">
        <f t="shared" ca="1" si="3"/>
        <v>0.62727519026624978</v>
      </c>
      <c r="M18" s="126"/>
      <c r="N18" s="184" t="str">
        <f t="shared" si="10"/>
        <v>2022-23</v>
      </c>
      <c r="O18" s="76">
        <f t="shared" ca="1" si="11"/>
        <v>2554.9</v>
      </c>
      <c r="P18" s="76">
        <f t="shared" ca="1" si="4"/>
        <v>1578.4999999999995</v>
      </c>
      <c r="Q18" s="76">
        <f t="shared" ca="1" si="5"/>
        <v>4133.3999999999996</v>
      </c>
      <c r="R18" s="185">
        <f t="shared" ca="1" si="6"/>
        <v>0.61811099820970639</v>
      </c>
    </row>
    <row r="19" spans="1:21" ht="15" thickBot="1" x14ac:dyDescent="0.35">
      <c r="A19">
        <f t="shared" si="7"/>
        <v>2001</v>
      </c>
      <c r="B19" s="179">
        <v>37226</v>
      </c>
      <c r="C19" s="186">
        <f ca="1">IF(ISBLANK(OFFSET('Min. Expl. By Commodity (Data)'!D19, 0, VLOOKUP($C$6, 'Min. Expl. By Commodity (Data)'!$A$9:$B$19, 2, FALSE))),
        "",
        OFFSET('Min. Expl. By Commodity (Data)'!D19, 0, VLOOKUP($C$6, 'Min. Expl. By Commodity (Data)'!$A$9:$B$19, 2, FALSE))
)</f>
        <v>103.5</v>
      </c>
      <c r="D19" s="187">
        <f ca="1">IF(ISBLANK(OFFSET('Min. Expl. By Commodity (Data)'!E19, 0, VLOOKUP($C$6, 'Min. Expl. By Commodity (Data)'!$A$9:$B$19, 2, FALSE))),
        "",
        OFFSET('Min. Expl. By Commodity (Data)'!E19, 0, VLOOKUP($C$6, 'Min. Expl. By Commodity (Data)'!$A$9:$B$19, 2, FALSE))
)</f>
        <v>67.199999999999989</v>
      </c>
      <c r="E19" s="186">
        <f ca="1">IF(ISBLANK(OFFSET('Min. Expl. By Commodity (Data)'!F19, 0, VLOOKUP($C$6, 'Min. Expl. By Commodity (Data)'!$A$9:$B$19, 2, FALSE))),
        "",
        OFFSET('Min. Expl. By Commodity (Data)'!F19, 0, VLOOKUP($C$6, 'Min. Expl. By Commodity (Data)'!$A$9:$B$19, 2, FALSE))
)</f>
        <v>170.7</v>
      </c>
      <c r="F19" s="188">
        <f t="shared" ca="1" si="0"/>
        <v>0.60632688927943768</v>
      </c>
      <c r="H19" s="195">
        <f>YEAR(LARGE(B:B,4))</f>
        <v>2023</v>
      </c>
      <c r="I19" s="196">
        <f t="shared" ca="1" si="8"/>
        <v>2601.2000000000003</v>
      </c>
      <c r="J19" s="197">
        <f t="shared" ca="1" si="2"/>
        <v>1659.4</v>
      </c>
      <c r="K19" s="196">
        <f t="shared" ca="1" si="9"/>
        <v>4260.6000000000004</v>
      </c>
      <c r="L19" s="198">
        <f t="shared" ca="1" si="3"/>
        <v>0.61052433929493499</v>
      </c>
      <c r="M19" s="126"/>
      <c r="N19" s="199" t="str">
        <f>IF(MONTH(LARGE(B:B,4))&gt;=7, YEAR(LARGE(B:B,4)) &amp; "-" &amp; RIGHT(YEAR(LARGE(B:B,4))+1,2),
                                                               YEAR(LARGE(B:B,4))-1 &amp; "-" &amp; RIGHT(YEAR(LARGE(B:B,4)), 2)
)</f>
        <v>2023-24</v>
      </c>
      <c r="O19" s="196">
        <f t="shared" ca="1" si="11"/>
        <v>2575.1999999999998</v>
      </c>
      <c r="P19" s="196">
        <f t="shared" ca="1" si="4"/>
        <v>1624.3999999999996</v>
      </c>
      <c r="Q19" s="196">
        <f t="shared" ca="1" si="5"/>
        <v>4199.5999999999995</v>
      </c>
      <c r="R19" s="200">
        <f t="shared" ca="1" si="6"/>
        <v>0.61320125726259644</v>
      </c>
      <c r="T19" s="65"/>
      <c r="U19" s="65"/>
    </row>
    <row r="20" spans="1:21" x14ac:dyDescent="0.3">
      <c r="A20">
        <f t="shared" si="7"/>
        <v>2002</v>
      </c>
      <c r="B20" s="179">
        <v>37316</v>
      </c>
      <c r="C20" s="18">
        <f ca="1">IF(ISBLANK(OFFSET('Min. Expl. By Commodity (Data)'!D20, 0, VLOOKUP($C$6, 'Min. Expl. By Commodity (Data)'!$A$9:$B$19, 2, FALSE))),
        "",
        OFFSET('Min. Expl. By Commodity (Data)'!D20, 0, VLOOKUP($C$6, 'Min. Expl. By Commodity (Data)'!$A$9:$B$19, 2, FALSE))
)</f>
        <v>82.5</v>
      </c>
      <c r="D20" s="19">
        <f ca="1">IF(ISBLANK(OFFSET('Min. Expl. By Commodity (Data)'!E20, 0, VLOOKUP($C$6, 'Min. Expl. By Commodity (Data)'!$A$9:$B$19, 2, FALSE))),
        "",
        OFFSET('Min. Expl. By Commodity (Data)'!E20, 0, VLOOKUP($C$6, 'Min. Expl. By Commodity (Data)'!$A$9:$B$19, 2, FALSE))
)</f>
        <v>51.699999999999989</v>
      </c>
      <c r="E20" s="18">
        <f ca="1">IF(ISBLANK(OFFSET('Min. Expl. By Commodity (Data)'!F20, 0, VLOOKUP($C$6, 'Min. Expl. By Commodity (Data)'!$A$9:$B$19, 2, FALSE))),
        "",
        OFFSET('Min. Expl. By Commodity (Data)'!F20, 0, VLOOKUP($C$6, 'Min. Expl. By Commodity (Data)'!$A$9:$B$19, 2, FALSE))
)</f>
        <v>134.19999999999999</v>
      </c>
      <c r="F20" s="180">
        <f t="shared" ca="1" si="0"/>
        <v>0.61475409836065575</v>
      </c>
      <c r="I20" s="156"/>
      <c r="L20" s="51"/>
    </row>
    <row r="21" spans="1:21" x14ac:dyDescent="0.3">
      <c r="A21">
        <f t="shared" si="7"/>
        <v>2002</v>
      </c>
      <c r="B21" s="179">
        <v>37408</v>
      </c>
      <c r="C21" s="186">
        <f ca="1">IF(ISBLANK(OFFSET('Min. Expl. By Commodity (Data)'!D21, 0, VLOOKUP($C$6, 'Min. Expl. By Commodity (Data)'!$A$9:$B$19, 2, FALSE))),
        "",
        OFFSET('Min. Expl. By Commodity (Data)'!D21, 0, VLOOKUP($C$6, 'Min. Expl. By Commodity (Data)'!$A$9:$B$19, 2, FALSE))
)</f>
        <v>91.8</v>
      </c>
      <c r="D21" s="187">
        <f ca="1">IF(ISBLANK(OFFSET('Min. Expl. By Commodity (Data)'!E21, 0, VLOOKUP($C$6, 'Min. Expl. By Commodity (Data)'!$A$9:$B$19, 2, FALSE))),
        "",
        OFFSET('Min. Expl. By Commodity (Data)'!E21, 0, VLOOKUP($C$6, 'Min. Expl. By Commodity (Data)'!$A$9:$B$19, 2, FALSE))
)</f>
        <v>76.500000000000014</v>
      </c>
      <c r="E21" s="186">
        <f ca="1">IF(ISBLANK(OFFSET('Min. Expl. By Commodity (Data)'!F21, 0, VLOOKUP($C$6, 'Min. Expl. By Commodity (Data)'!$A$9:$B$19, 2, FALSE))),
        "",
        OFFSET('Min. Expl. By Commodity (Data)'!F21, 0, VLOOKUP($C$6, 'Min. Expl. By Commodity (Data)'!$A$9:$B$19, 2, FALSE))
)</f>
        <v>168.3</v>
      </c>
      <c r="F21" s="188">
        <f t="shared" ca="1" si="0"/>
        <v>0.54545454545454541</v>
      </c>
    </row>
    <row r="22" spans="1:21" x14ac:dyDescent="0.3">
      <c r="A22">
        <f t="shared" si="7"/>
        <v>2002</v>
      </c>
      <c r="B22" s="179">
        <v>37500</v>
      </c>
      <c r="C22" s="18">
        <f ca="1">IF(ISBLANK(OFFSET('Min. Expl. By Commodity (Data)'!D22, 0, VLOOKUP($C$6, 'Min. Expl. By Commodity (Data)'!$A$9:$B$19, 2, FALSE))),
        "",
        OFFSET('Min. Expl. By Commodity (Data)'!D22, 0, VLOOKUP($C$6, 'Min. Expl. By Commodity (Data)'!$A$9:$B$19, 2, FALSE))
)</f>
        <v>110.1</v>
      </c>
      <c r="D22" s="19">
        <f ca="1">IF(ISBLANK(OFFSET('Min. Expl. By Commodity (Data)'!E22, 0, VLOOKUP($C$6, 'Min. Expl. By Commodity (Data)'!$A$9:$B$19, 2, FALSE))),
        "",
        OFFSET('Min. Expl. By Commodity (Data)'!E22, 0, VLOOKUP($C$6, 'Min. Expl. By Commodity (Data)'!$A$9:$B$19, 2, FALSE))
)</f>
        <v>72.800000000000011</v>
      </c>
      <c r="E22" s="18">
        <f ca="1">IF(ISBLANK(OFFSET('Min. Expl. By Commodity (Data)'!F22, 0, VLOOKUP($C$6, 'Min. Expl. By Commodity (Data)'!$A$9:$B$19, 2, FALSE))),
        "",
        OFFSET('Min. Expl. By Commodity (Data)'!F22, 0, VLOOKUP($C$6, 'Min. Expl. By Commodity (Data)'!$A$9:$B$19, 2, FALSE))
)</f>
        <v>182.9</v>
      </c>
      <c r="F22" s="180">
        <f t="shared" ca="1" si="0"/>
        <v>0.60196828868233998</v>
      </c>
    </row>
    <row r="23" spans="1:21" x14ac:dyDescent="0.3">
      <c r="A23">
        <f t="shared" si="7"/>
        <v>2002</v>
      </c>
      <c r="B23" s="179">
        <v>37591</v>
      </c>
      <c r="C23" s="186">
        <f ca="1">IF(ISBLANK(OFFSET('Min. Expl. By Commodity (Data)'!D23, 0, VLOOKUP($C$6, 'Min. Expl. By Commodity (Data)'!$A$9:$B$19, 2, FALSE))),
        "",
        OFFSET('Min. Expl. By Commodity (Data)'!D23, 0, VLOOKUP($C$6, 'Min. Expl. By Commodity (Data)'!$A$9:$B$19, 2, FALSE))
)</f>
        <v>111.1</v>
      </c>
      <c r="D23" s="187">
        <f ca="1">IF(ISBLANK(OFFSET('Min. Expl. By Commodity (Data)'!E23, 0, VLOOKUP($C$6, 'Min. Expl. By Commodity (Data)'!$A$9:$B$19, 2, FALSE))),
        "",
        OFFSET('Min. Expl. By Commodity (Data)'!E23, 0, VLOOKUP($C$6, 'Min. Expl. By Commodity (Data)'!$A$9:$B$19, 2, FALSE))
)</f>
        <v>81.700000000000017</v>
      </c>
      <c r="E23" s="186">
        <f ca="1">IF(ISBLANK(OFFSET('Min. Expl. By Commodity (Data)'!F23, 0, VLOOKUP($C$6, 'Min. Expl. By Commodity (Data)'!$A$9:$B$19, 2, FALSE))),
        "",
        OFFSET('Min. Expl. By Commodity (Data)'!F23, 0, VLOOKUP($C$6, 'Min. Expl. By Commodity (Data)'!$A$9:$B$19, 2, FALSE))
)</f>
        <v>192.8</v>
      </c>
      <c r="F23" s="188">
        <f t="shared" ca="1" si="0"/>
        <v>0.57624481327800825</v>
      </c>
    </row>
    <row r="24" spans="1:21" x14ac:dyDescent="0.3">
      <c r="A24">
        <f t="shared" si="7"/>
        <v>2003</v>
      </c>
      <c r="B24" s="179">
        <v>37681</v>
      </c>
      <c r="C24" s="18">
        <f ca="1">IF(ISBLANK(OFFSET('Min. Expl. By Commodity (Data)'!D24, 0, VLOOKUP($C$6, 'Min. Expl. By Commodity (Data)'!$A$9:$B$19, 2, FALSE))),
        "",
        OFFSET('Min. Expl. By Commodity (Data)'!D24, 0, VLOOKUP($C$6, 'Min. Expl. By Commodity (Data)'!$A$9:$B$19, 2, FALSE))
)</f>
        <v>90.8</v>
      </c>
      <c r="D24" s="19">
        <f ca="1">IF(ISBLANK(OFFSET('Min. Expl. By Commodity (Data)'!E24, 0, VLOOKUP($C$6, 'Min. Expl. By Commodity (Data)'!$A$9:$B$19, 2, FALSE))),
        "",
        OFFSET('Min. Expl. By Commodity (Data)'!E24, 0, VLOOKUP($C$6, 'Min. Expl. By Commodity (Data)'!$A$9:$B$19, 2, FALSE))
)</f>
        <v>62.600000000000009</v>
      </c>
      <c r="E24" s="18">
        <f ca="1">IF(ISBLANK(OFFSET('Min. Expl. By Commodity (Data)'!F24, 0, VLOOKUP($C$6, 'Min. Expl. By Commodity (Data)'!$A$9:$B$19, 2, FALSE))),
        "",
        OFFSET('Min. Expl. By Commodity (Data)'!F24, 0, VLOOKUP($C$6, 'Min. Expl. By Commodity (Data)'!$A$9:$B$19, 2, FALSE))
)</f>
        <v>153.4</v>
      </c>
      <c r="F24" s="180">
        <f t="shared" ca="1" si="0"/>
        <v>0.59191655801825294</v>
      </c>
    </row>
    <row r="25" spans="1:21" x14ac:dyDescent="0.3">
      <c r="A25">
        <f t="shared" si="7"/>
        <v>2003</v>
      </c>
      <c r="B25" s="179">
        <v>37773</v>
      </c>
      <c r="C25" s="186">
        <f ca="1">IF(ISBLANK(OFFSET('Min. Expl. By Commodity (Data)'!D25, 0, VLOOKUP($C$6, 'Min. Expl. By Commodity (Data)'!$A$9:$B$19, 2, FALSE))),
        "",
        OFFSET('Min. Expl. By Commodity (Data)'!D25, 0, VLOOKUP($C$6, 'Min. Expl. By Commodity (Data)'!$A$9:$B$19, 2, FALSE))
)</f>
        <v>111.6</v>
      </c>
      <c r="D25" s="187">
        <f ca="1">IF(ISBLANK(OFFSET('Min. Expl. By Commodity (Data)'!E25, 0, VLOOKUP($C$6, 'Min. Expl. By Commodity (Data)'!$A$9:$B$19, 2, FALSE))),
        "",
        OFFSET('Min. Expl. By Commodity (Data)'!E25, 0, VLOOKUP($C$6, 'Min. Expl. By Commodity (Data)'!$A$9:$B$19, 2, FALSE))
)</f>
        <v>92.1</v>
      </c>
      <c r="E25" s="186">
        <f ca="1">IF(ISBLANK(OFFSET('Min. Expl. By Commodity (Data)'!F25, 0, VLOOKUP($C$6, 'Min. Expl. By Commodity (Data)'!$A$9:$B$19, 2, FALSE))),
        "",
        OFFSET('Min. Expl. By Commodity (Data)'!F25, 0, VLOOKUP($C$6, 'Min. Expl. By Commodity (Data)'!$A$9:$B$19, 2, FALSE))
)</f>
        <v>203.7</v>
      </c>
      <c r="F25" s="188">
        <f t="shared" ca="1" si="0"/>
        <v>0.54786450662739328</v>
      </c>
    </row>
    <row r="26" spans="1:21" x14ac:dyDescent="0.3">
      <c r="A26">
        <f t="shared" si="7"/>
        <v>2003</v>
      </c>
      <c r="B26" s="179">
        <v>37865</v>
      </c>
      <c r="C26" s="18">
        <f ca="1">IF(ISBLANK(OFFSET('Min. Expl. By Commodity (Data)'!D26, 0, VLOOKUP($C$6, 'Min. Expl. By Commodity (Data)'!$A$9:$B$19, 2, FALSE))),
        "",
        OFFSET('Min. Expl. By Commodity (Data)'!D26, 0, VLOOKUP($C$6, 'Min. Expl. By Commodity (Data)'!$A$9:$B$19, 2, FALSE))
)</f>
        <v>108.5</v>
      </c>
      <c r="D26" s="19">
        <f ca="1">IF(ISBLANK(OFFSET('Min. Expl. By Commodity (Data)'!E26, 0, VLOOKUP($C$6, 'Min. Expl. By Commodity (Data)'!$A$9:$B$19, 2, FALSE))),
        "",
        OFFSET('Min. Expl. By Commodity (Data)'!E26, 0, VLOOKUP($C$6, 'Min. Expl. By Commodity (Data)'!$A$9:$B$19, 2, FALSE))
)</f>
        <v>71.199999999999989</v>
      </c>
      <c r="E26" s="18">
        <f ca="1">IF(ISBLANK(OFFSET('Min. Expl. By Commodity (Data)'!F26, 0, VLOOKUP($C$6, 'Min. Expl. By Commodity (Data)'!$A$9:$B$19, 2, FALSE))),
        "",
        OFFSET('Min. Expl. By Commodity (Data)'!F26, 0, VLOOKUP($C$6, 'Min. Expl. By Commodity (Data)'!$A$9:$B$19, 2, FALSE))
)</f>
        <v>179.7</v>
      </c>
      <c r="F26" s="180">
        <f t="shared" ca="1" si="0"/>
        <v>0.60378408458542021</v>
      </c>
    </row>
    <row r="27" spans="1:21" x14ac:dyDescent="0.3">
      <c r="A27">
        <f t="shared" si="7"/>
        <v>2003</v>
      </c>
      <c r="B27" s="179">
        <v>37956</v>
      </c>
      <c r="C27" s="186">
        <f ca="1">IF(ISBLANK(OFFSET('Min. Expl. By Commodity (Data)'!D27, 0, VLOOKUP($C$6, 'Min. Expl. By Commodity (Data)'!$A$9:$B$19, 2, FALSE))),
        "",
        OFFSET('Min. Expl. By Commodity (Data)'!D27, 0, VLOOKUP($C$6, 'Min. Expl. By Commodity (Data)'!$A$9:$B$19, 2, FALSE))
)</f>
        <v>122</v>
      </c>
      <c r="D27" s="187">
        <f ca="1">IF(ISBLANK(OFFSET('Min. Expl. By Commodity (Data)'!E27, 0, VLOOKUP($C$6, 'Min. Expl. By Commodity (Data)'!$A$9:$B$19, 2, FALSE))),
        "",
        OFFSET('Min. Expl. By Commodity (Data)'!E27, 0, VLOOKUP($C$6, 'Min. Expl. By Commodity (Data)'!$A$9:$B$19, 2, FALSE))
)</f>
        <v>77.5</v>
      </c>
      <c r="E27" s="186">
        <f ca="1">IF(ISBLANK(OFFSET('Min. Expl. By Commodity (Data)'!F27, 0, VLOOKUP($C$6, 'Min. Expl. By Commodity (Data)'!$A$9:$B$19, 2, FALSE))),
        "",
        OFFSET('Min. Expl. By Commodity (Data)'!F27, 0, VLOOKUP($C$6, 'Min. Expl. By Commodity (Data)'!$A$9:$B$19, 2, FALSE))
)</f>
        <v>199.5</v>
      </c>
      <c r="F27" s="188">
        <f t="shared" ca="1" si="0"/>
        <v>0.61152882205513781</v>
      </c>
    </row>
    <row r="28" spans="1:21" x14ac:dyDescent="0.3">
      <c r="A28">
        <f t="shared" si="7"/>
        <v>2004</v>
      </c>
      <c r="B28" s="179">
        <v>38047</v>
      </c>
      <c r="C28" s="18">
        <f ca="1">IF(ISBLANK(OFFSET('Min. Expl. By Commodity (Data)'!D28, 0, VLOOKUP($C$6, 'Min. Expl. By Commodity (Data)'!$A$9:$B$19, 2, FALSE))),
        "",
        OFFSET('Min. Expl. By Commodity (Data)'!D28, 0, VLOOKUP($C$6, 'Min. Expl. By Commodity (Data)'!$A$9:$B$19, 2, FALSE))
)</f>
        <v>96.5</v>
      </c>
      <c r="D28" s="19">
        <f ca="1">IF(ISBLANK(OFFSET('Min. Expl. By Commodity (Data)'!E28, 0, VLOOKUP($C$6, 'Min. Expl. By Commodity (Data)'!$A$9:$B$19, 2, FALSE))),
        "",
        OFFSET('Min. Expl. By Commodity (Data)'!E28, 0, VLOOKUP($C$6, 'Min. Expl. By Commodity (Data)'!$A$9:$B$19, 2, FALSE))
)</f>
        <v>70.800000000000011</v>
      </c>
      <c r="E28" s="18">
        <f ca="1">IF(ISBLANK(OFFSET('Min. Expl. By Commodity (Data)'!F28, 0, VLOOKUP($C$6, 'Min. Expl. By Commodity (Data)'!$A$9:$B$19, 2, FALSE))),
        "",
        OFFSET('Min. Expl. By Commodity (Data)'!F28, 0, VLOOKUP($C$6, 'Min. Expl. By Commodity (Data)'!$A$9:$B$19, 2, FALSE))
)</f>
        <v>167.3</v>
      </c>
      <c r="F28" s="180">
        <f t="shared" ca="1" si="0"/>
        <v>0.57680812910938428</v>
      </c>
    </row>
    <row r="29" spans="1:21" x14ac:dyDescent="0.3">
      <c r="A29">
        <f t="shared" si="7"/>
        <v>2004</v>
      </c>
      <c r="B29" s="179">
        <v>38139</v>
      </c>
      <c r="C29" s="186">
        <f ca="1">IF(ISBLANK(OFFSET('Min. Expl. By Commodity (Data)'!D29, 0, VLOOKUP($C$6, 'Min. Expl. By Commodity (Data)'!$A$9:$B$19, 2, FALSE))),
        "",
        OFFSET('Min. Expl. By Commodity (Data)'!D29, 0, VLOOKUP($C$6, 'Min. Expl. By Commodity (Data)'!$A$9:$B$19, 2, FALSE))
)</f>
        <v>138.80000000000001</v>
      </c>
      <c r="D29" s="187">
        <f ca="1">IF(ISBLANK(OFFSET('Min. Expl. By Commodity (Data)'!E29, 0, VLOOKUP($C$6, 'Min. Expl. By Commodity (Data)'!$A$9:$B$19, 2, FALSE))),
        "",
        OFFSET('Min. Expl. By Commodity (Data)'!E29, 0, VLOOKUP($C$6, 'Min. Expl. By Commodity (Data)'!$A$9:$B$19, 2, FALSE))
)</f>
        <v>101.39999999999998</v>
      </c>
      <c r="E29" s="186">
        <f ca="1">IF(ISBLANK(OFFSET('Min. Expl. By Commodity (Data)'!F29, 0, VLOOKUP($C$6, 'Min. Expl. By Commodity (Data)'!$A$9:$B$19, 2, FALSE))),
        "",
        OFFSET('Min. Expl. By Commodity (Data)'!F29, 0, VLOOKUP($C$6, 'Min. Expl. By Commodity (Data)'!$A$9:$B$19, 2, FALSE))
)</f>
        <v>240.2</v>
      </c>
      <c r="F29" s="188">
        <f t="shared" ca="1" si="0"/>
        <v>0.57785179017485433</v>
      </c>
    </row>
    <row r="30" spans="1:21" x14ac:dyDescent="0.3">
      <c r="A30">
        <f t="shared" si="7"/>
        <v>2004</v>
      </c>
      <c r="B30" s="179">
        <v>38231</v>
      </c>
      <c r="C30" s="18">
        <f ca="1">IF(ISBLANK(OFFSET('Min. Expl. By Commodity (Data)'!D30, 0, VLOOKUP($C$6, 'Min. Expl. By Commodity (Data)'!$A$9:$B$19, 2, FALSE))),
        "",
        OFFSET('Min. Expl. By Commodity (Data)'!D30, 0, VLOOKUP($C$6, 'Min. Expl. By Commodity (Data)'!$A$9:$B$19, 2, FALSE))
)</f>
        <v>147.9</v>
      </c>
      <c r="D30" s="19">
        <f ca="1">IF(ISBLANK(OFFSET('Min. Expl. By Commodity (Data)'!E30, 0, VLOOKUP($C$6, 'Min. Expl. By Commodity (Data)'!$A$9:$B$19, 2, FALSE))),
        "",
        OFFSET('Min. Expl. By Commodity (Data)'!E30, 0, VLOOKUP($C$6, 'Min. Expl. By Commodity (Data)'!$A$9:$B$19, 2, FALSE))
)</f>
        <v>103.19999999999999</v>
      </c>
      <c r="E30" s="18">
        <f ca="1">IF(ISBLANK(OFFSET('Min. Expl. By Commodity (Data)'!F30, 0, VLOOKUP($C$6, 'Min. Expl. By Commodity (Data)'!$A$9:$B$19, 2, FALSE))),
        "",
        OFFSET('Min. Expl. By Commodity (Data)'!F30, 0, VLOOKUP($C$6, 'Min. Expl. By Commodity (Data)'!$A$9:$B$19, 2, FALSE))
)</f>
        <v>251.1</v>
      </c>
      <c r="F30" s="180">
        <f t="shared" ca="1" si="0"/>
        <v>0.58900836320191163</v>
      </c>
    </row>
    <row r="31" spans="1:21" x14ac:dyDescent="0.3">
      <c r="A31">
        <f t="shared" si="7"/>
        <v>2004</v>
      </c>
      <c r="B31" s="179">
        <v>38322</v>
      </c>
      <c r="C31" s="186">
        <f ca="1">IF(ISBLANK(OFFSET('Min. Expl. By Commodity (Data)'!D31, 0, VLOOKUP($C$6, 'Min. Expl. By Commodity (Data)'!$A$9:$B$19, 2, FALSE))),
        "",
        OFFSET('Min. Expl. By Commodity (Data)'!D31, 0, VLOOKUP($C$6, 'Min. Expl. By Commodity (Data)'!$A$9:$B$19, 2, FALSE))
)</f>
        <v>156.69999999999999</v>
      </c>
      <c r="D31" s="187">
        <f ca="1">IF(ISBLANK(OFFSET('Min. Expl. By Commodity (Data)'!E31, 0, VLOOKUP($C$6, 'Min. Expl. By Commodity (Data)'!$A$9:$B$19, 2, FALSE))),
        "",
        OFFSET('Min. Expl. By Commodity (Data)'!E31, 0, VLOOKUP($C$6, 'Min. Expl. By Commodity (Data)'!$A$9:$B$19, 2, FALSE))
)</f>
        <v>104.10000000000002</v>
      </c>
      <c r="E31" s="186">
        <f ca="1">IF(ISBLANK(OFFSET('Min. Expl. By Commodity (Data)'!F31, 0, VLOOKUP($C$6, 'Min. Expl. By Commodity (Data)'!$A$9:$B$19, 2, FALSE))),
        "",
        OFFSET('Min. Expl. By Commodity (Data)'!F31, 0, VLOOKUP($C$6, 'Min. Expl. By Commodity (Data)'!$A$9:$B$19, 2, FALSE))
)</f>
        <v>260.8</v>
      </c>
      <c r="F31" s="188">
        <f t="shared" ca="1" si="0"/>
        <v>0.60084355828220848</v>
      </c>
    </row>
    <row r="32" spans="1:21" x14ac:dyDescent="0.3">
      <c r="A32">
        <f t="shared" si="7"/>
        <v>2005</v>
      </c>
      <c r="B32" s="179">
        <v>38412</v>
      </c>
      <c r="C32" s="18">
        <f ca="1">IF(ISBLANK(OFFSET('Min. Expl. By Commodity (Data)'!D32, 0, VLOOKUP($C$6, 'Min. Expl. By Commodity (Data)'!$A$9:$B$19, 2, FALSE))),
        "",
        OFFSET('Min. Expl. By Commodity (Data)'!D32, 0, VLOOKUP($C$6, 'Min. Expl. By Commodity (Data)'!$A$9:$B$19, 2, FALSE))
)</f>
        <v>134.4</v>
      </c>
      <c r="D32" s="19">
        <f ca="1">IF(ISBLANK(OFFSET('Min. Expl. By Commodity (Data)'!E32, 0, VLOOKUP($C$6, 'Min. Expl. By Commodity (Data)'!$A$9:$B$19, 2, FALSE))),
        "",
        OFFSET('Min. Expl. By Commodity (Data)'!E32, 0, VLOOKUP($C$6, 'Min. Expl. By Commodity (Data)'!$A$9:$B$19, 2, FALSE))
)</f>
        <v>91.4</v>
      </c>
      <c r="E32" s="18">
        <f ca="1">IF(ISBLANK(OFFSET('Min. Expl. By Commodity (Data)'!F32, 0, VLOOKUP($C$6, 'Min. Expl. By Commodity (Data)'!$A$9:$B$19, 2, FALSE))),
        "",
        OFFSET('Min. Expl. By Commodity (Data)'!F32, 0, VLOOKUP($C$6, 'Min. Expl. By Commodity (Data)'!$A$9:$B$19, 2, FALSE))
)</f>
        <v>225.8</v>
      </c>
      <c r="F32" s="180">
        <f t="shared" ca="1" si="0"/>
        <v>0.59521700620017715</v>
      </c>
    </row>
    <row r="33" spans="1:6" x14ac:dyDescent="0.3">
      <c r="A33">
        <f t="shared" si="7"/>
        <v>2005</v>
      </c>
      <c r="B33" s="179">
        <v>38504</v>
      </c>
      <c r="C33" s="186">
        <f ca="1">IF(ISBLANK(OFFSET('Min. Expl. By Commodity (Data)'!D33, 0, VLOOKUP($C$6, 'Min. Expl. By Commodity (Data)'!$A$9:$B$19, 2, FALSE))),
        "",
        OFFSET('Min. Expl. By Commodity (Data)'!D33, 0, VLOOKUP($C$6, 'Min. Expl. By Commodity (Data)'!$A$9:$B$19, 2, FALSE))
)</f>
        <v>167</v>
      </c>
      <c r="D33" s="187">
        <f ca="1">IF(ISBLANK(OFFSET('Min. Expl. By Commodity (Data)'!E33, 0, VLOOKUP($C$6, 'Min. Expl. By Commodity (Data)'!$A$9:$B$19, 2, FALSE))),
        "",
        OFFSET('Min. Expl. By Commodity (Data)'!E33, 0, VLOOKUP($C$6, 'Min. Expl. By Commodity (Data)'!$A$9:$B$19, 2, FALSE))
)</f>
        <v>123.69999999999999</v>
      </c>
      <c r="E33" s="186">
        <f ca="1">IF(ISBLANK(OFFSET('Min. Expl. By Commodity (Data)'!F33, 0, VLOOKUP($C$6, 'Min. Expl. By Commodity (Data)'!$A$9:$B$19, 2, FALSE))),
        "",
        OFFSET('Min. Expl. By Commodity (Data)'!F33, 0, VLOOKUP($C$6, 'Min. Expl. By Commodity (Data)'!$A$9:$B$19, 2, FALSE))
)</f>
        <v>290.7</v>
      </c>
      <c r="F33" s="188">
        <f t="shared" ca="1" si="0"/>
        <v>0.57447540419676646</v>
      </c>
    </row>
    <row r="34" spans="1:6" x14ac:dyDescent="0.3">
      <c r="A34">
        <f t="shared" si="7"/>
        <v>2005</v>
      </c>
      <c r="B34" s="179">
        <v>38596</v>
      </c>
      <c r="C34" s="18">
        <f ca="1">IF(ISBLANK(OFFSET('Min. Expl. By Commodity (Data)'!D34, 0, VLOOKUP($C$6, 'Min. Expl. By Commodity (Data)'!$A$9:$B$19, 2, FALSE))),
        "",
        OFFSET('Min. Expl. By Commodity (Data)'!D34, 0, VLOOKUP($C$6, 'Min. Expl. By Commodity (Data)'!$A$9:$B$19, 2, FALSE))
)</f>
        <v>154.4</v>
      </c>
      <c r="D34" s="19">
        <f ca="1">IF(ISBLANK(OFFSET('Min. Expl. By Commodity (Data)'!E34, 0, VLOOKUP($C$6, 'Min. Expl. By Commodity (Data)'!$A$9:$B$19, 2, FALSE))),
        "",
        OFFSET('Min. Expl. By Commodity (Data)'!E34, 0, VLOOKUP($C$6, 'Min. Expl. By Commodity (Data)'!$A$9:$B$19, 2, FALSE))
)</f>
        <v>137.6</v>
      </c>
      <c r="E34" s="18">
        <f ca="1">IF(ISBLANK(OFFSET('Min. Expl. By Commodity (Data)'!F34, 0, VLOOKUP($C$6, 'Min. Expl. By Commodity (Data)'!$A$9:$B$19, 2, FALSE))),
        "",
        OFFSET('Min. Expl. By Commodity (Data)'!F34, 0, VLOOKUP($C$6, 'Min. Expl. By Commodity (Data)'!$A$9:$B$19, 2, FALSE))
)</f>
        <v>292</v>
      </c>
      <c r="F34" s="180">
        <f t="shared" ca="1" si="0"/>
        <v>0.52876712328767128</v>
      </c>
    </row>
    <row r="35" spans="1:6" x14ac:dyDescent="0.3">
      <c r="A35">
        <f t="shared" si="7"/>
        <v>2005</v>
      </c>
      <c r="B35" s="179">
        <v>38687</v>
      </c>
      <c r="C35" s="186">
        <f ca="1">IF(ISBLANK(OFFSET('Min. Expl. By Commodity (Data)'!D35, 0, VLOOKUP($C$6, 'Min. Expl. By Commodity (Data)'!$A$9:$B$19, 2, FALSE))),
        "",
        OFFSET('Min. Expl. By Commodity (Data)'!D35, 0, VLOOKUP($C$6, 'Min. Expl. By Commodity (Data)'!$A$9:$B$19, 2, FALSE))
)</f>
        <v>158</v>
      </c>
      <c r="D35" s="187">
        <f ca="1">IF(ISBLANK(OFFSET('Min. Expl. By Commodity (Data)'!E35, 0, VLOOKUP($C$6, 'Min. Expl. By Commodity (Data)'!$A$9:$B$19, 2, FALSE))),
        "",
        OFFSET('Min. Expl. By Commodity (Data)'!E35, 0, VLOOKUP($C$6, 'Min. Expl. By Commodity (Data)'!$A$9:$B$19, 2, FALSE))
)</f>
        <v>169.60000000000002</v>
      </c>
      <c r="E35" s="186">
        <f ca="1">IF(ISBLANK(OFFSET('Min. Expl. By Commodity (Data)'!F35, 0, VLOOKUP($C$6, 'Min. Expl. By Commodity (Data)'!$A$9:$B$19, 2, FALSE))),
        "",
        OFFSET('Min. Expl. By Commodity (Data)'!F35, 0, VLOOKUP($C$6, 'Min. Expl. By Commodity (Data)'!$A$9:$B$19, 2, FALSE))
)</f>
        <v>327.60000000000002</v>
      </c>
      <c r="F35" s="188">
        <f t="shared" ca="1" si="0"/>
        <v>0.48229548229548225</v>
      </c>
    </row>
    <row r="36" spans="1:6" x14ac:dyDescent="0.3">
      <c r="A36">
        <f t="shared" si="7"/>
        <v>2006</v>
      </c>
      <c r="B36" s="179">
        <v>38777</v>
      </c>
      <c r="C36" s="18">
        <f ca="1">IF(ISBLANK(OFFSET('Min. Expl. By Commodity (Data)'!D36, 0, VLOOKUP($C$6, 'Min. Expl. By Commodity (Data)'!$A$9:$B$19, 2, FALSE))),
        "",
        OFFSET('Min. Expl. By Commodity (Data)'!D36, 0, VLOOKUP($C$6, 'Min. Expl. By Commodity (Data)'!$A$9:$B$19, 2, FALSE))
)</f>
        <v>121.5</v>
      </c>
      <c r="D36" s="19">
        <f ca="1">IF(ISBLANK(OFFSET('Min. Expl. By Commodity (Data)'!E36, 0, VLOOKUP($C$6, 'Min. Expl. By Commodity (Data)'!$A$9:$B$19, 2, FALSE))),
        "",
        OFFSET('Min. Expl. By Commodity (Data)'!E36, 0, VLOOKUP($C$6, 'Min. Expl. By Commodity (Data)'!$A$9:$B$19, 2, FALSE))
)</f>
        <v>142.19999999999999</v>
      </c>
      <c r="E36" s="18">
        <f ca="1">IF(ISBLANK(OFFSET('Min. Expl. By Commodity (Data)'!F36, 0, VLOOKUP($C$6, 'Min. Expl. By Commodity (Data)'!$A$9:$B$19, 2, FALSE))),
        "",
        OFFSET('Min. Expl. By Commodity (Data)'!F36, 0, VLOOKUP($C$6, 'Min. Expl. By Commodity (Data)'!$A$9:$B$19, 2, FALSE))
)</f>
        <v>263.7</v>
      </c>
      <c r="F36" s="180">
        <f t="shared" ca="1" si="0"/>
        <v>0.46075085324232085</v>
      </c>
    </row>
    <row r="37" spans="1:6" x14ac:dyDescent="0.3">
      <c r="A37">
        <f t="shared" si="7"/>
        <v>2006</v>
      </c>
      <c r="B37" s="179">
        <v>38869</v>
      </c>
      <c r="C37" s="186">
        <f ca="1">IF(ISBLANK(OFFSET('Min. Expl. By Commodity (Data)'!D37, 0, VLOOKUP($C$6, 'Min. Expl. By Commodity (Data)'!$A$9:$B$19, 2, FALSE))),
        "",
        OFFSET('Min. Expl. By Commodity (Data)'!D37, 0, VLOOKUP($C$6, 'Min. Expl. By Commodity (Data)'!$A$9:$B$19, 2, FALSE))
)</f>
        <v>156.30000000000001</v>
      </c>
      <c r="D37" s="187">
        <f ca="1">IF(ISBLANK(OFFSET('Min. Expl. By Commodity (Data)'!E37, 0, VLOOKUP($C$6, 'Min. Expl. By Commodity (Data)'!$A$9:$B$19, 2, FALSE))),
        "",
        OFFSET('Min. Expl. By Commodity (Data)'!E37, 0, VLOOKUP($C$6, 'Min. Expl. By Commodity (Data)'!$A$9:$B$19, 2, FALSE))
)</f>
        <v>201.09999999999997</v>
      </c>
      <c r="E37" s="186">
        <f ca="1">IF(ISBLANK(OFFSET('Min. Expl. By Commodity (Data)'!F37, 0, VLOOKUP($C$6, 'Min. Expl. By Commodity (Data)'!$A$9:$B$19, 2, FALSE))),
        "",
        OFFSET('Min. Expl. By Commodity (Data)'!F37, 0, VLOOKUP($C$6, 'Min. Expl. By Commodity (Data)'!$A$9:$B$19, 2, FALSE))
)</f>
        <v>357.4</v>
      </c>
      <c r="F37" s="188">
        <f t="shared" ca="1" si="0"/>
        <v>0.43732512590934536</v>
      </c>
    </row>
    <row r="38" spans="1:6" x14ac:dyDescent="0.3">
      <c r="A38">
        <f t="shared" si="7"/>
        <v>2006</v>
      </c>
      <c r="B38" s="179">
        <v>38961</v>
      </c>
      <c r="C38" s="18">
        <f ca="1">IF(ISBLANK(OFFSET('Min. Expl. By Commodity (Data)'!D38, 0, VLOOKUP($C$6, 'Min. Expl. By Commodity (Data)'!$A$9:$B$19, 2, FALSE))),
        "",
        OFFSET('Min. Expl. By Commodity (Data)'!D38, 0, VLOOKUP($C$6, 'Min. Expl. By Commodity (Data)'!$A$9:$B$19, 2, FALSE))
)</f>
        <v>190.2</v>
      </c>
      <c r="D38" s="19">
        <f ca="1">IF(ISBLANK(OFFSET('Min. Expl. By Commodity (Data)'!E38, 0, VLOOKUP($C$6, 'Min. Expl. By Commodity (Data)'!$A$9:$B$19, 2, FALSE))),
        "",
        OFFSET('Min. Expl. By Commodity (Data)'!E38, 0, VLOOKUP($C$6, 'Min. Expl. By Commodity (Data)'!$A$9:$B$19, 2, FALSE))
)</f>
        <v>204.40000000000003</v>
      </c>
      <c r="E38" s="18">
        <f ca="1">IF(ISBLANK(OFFSET('Min. Expl. By Commodity (Data)'!F38, 0, VLOOKUP($C$6, 'Min. Expl. By Commodity (Data)'!$A$9:$B$19, 2, FALSE))),
        "",
        OFFSET('Min. Expl. By Commodity (Data)'!F38, 0, VLOOKUP($C$6, 'Min. Expl. By Commodity (Data)'!$A$9:$B$19, 2, FALSE))
)</f>
        <v>394.6</v>
      </c>
      <c r="F38" s="180">
        <f t="shared" ca="1" si="0"/>
        <v>0.48200709579320827</v>
      </c>
    </row>
    <row r="39" spans="1:6" x14ac:dyDescent="0.3">
      <c r="A39">
        <f t="shared" si="7"/>
        <v>2006</v>
      </c>
      <c r="B39" s="179">
        <v>39052</v>
      </c>
      <c r="C39" s="186">
        <f ca="1">IF(ISBLANK(OFFSET('Min. Expl. By Commodity (Data)'!D39, 0, VLOOKUP($C$6, 'Min. Expl. By Commodity (Data)'!$A$9:$B$19, 2, FALSE))),
        "",
        OFFSET('Min. Expl. By Commodity (Data)'!D39, 0, VLOOKUP($C$6, 'Min. Expl. By Commodity (Data)'!$A$9:$B$19, 2, FALSE))
)</f>
        <v>217.3</v>
      </c>
      <c r="D39" s="187">
        <f ca="1">IF(ISBLANK(OFFSET('Min. Expl. By Commodity (Data)'!E39, 0, VLOOKUP($C$6, 'Min. Expl. By Commodity (Data)'!$A$9:$B$19, 2, FALSE))),
        "",
        OFFSET('Min. Expl. By Commodity (Data)'!E39, 0, VLOOKUP($C$6, 'Min. Expl. By Commodity (Data)'!$A$9:$B$19, 2, FALSE))
)</f>
        <v>230.89999999999998</v>
      </c>
      <c r="E39" s="186">
        <f ca="1">IF(ISBLANK(OFFSET('Min. Expl. By Commodity (Data)'!F39, 0, VLOOKUP($C$6, 'Min. Expl. By Commodity (Data)'!$A$9:$B$19, 2, FALSE))),
        "",
        OFFSET('Min. Expl. By Commodity (Data)'!F39, 0, VLOOKUP($C$6, 'Min. Expl. By Commodity (Data)'!$A$9:$B$19, 2, FALSE))
)</f>
        <v>448.2</v>
      </c>
      <c r="F39" s="188">
        <f t="shared" ca="1" si="0"/>
        <v>0.48482820169567159</v>
      </c>
    </row>
    <row r="40" spans="1:6" x14ac:dyDescent="0.3">
      <c r="A40">
        <f t="shared" si="7"/>
        <v>2007</v>
      </c>
      <c r="B40" s="179">
        <v>39142</v>
      </c>
      <c r="C40" s="18">
        <f ca="1">IF(ISBLANK(OFFSET('Min. Expl. By Commodity (Data)'!D40, 0, VLOOKUP($C$6, 'Min. Expl. By Commodity (Data)'!$A$9:$B$19, 2, FALSE))),
        "",
        OFFSET('Min. Expl. By Commodity (Data)'!D40, 0, VLOOKUP($C$6, 'Min. Expl. By Commodity (Data)'!$A$9:$B$19, 2, FALSE))
)</f>
        <v>179.9</v>
      </c>
      <c r="D40" s="19">
        <f ca="1">IF(ISBLANK(OFFSET('Min. Expl. By Commodity (Data)'!E40, 0, VLOOKUP($C$6, 'Min. Expl. By Commodity (Data)'!$A$9:$B$19, 2, FALSE))),
        "",
        OFFSET('Min. Expl. By Commodity (Data)'!E40, 0, VLOOKUP($C$6, 'Min. Expl. By Commodity (Data)'!$A$9:$B$19, 2, FALSE))
)</f>
        <v>189.4</v>
      </c>
      <c r="E40" s="18">
        <f ca="1">IF(ISBLANK(OFFSET('Min. Expl. By Commodity (Data)'!F40, 0, VLOOKUP($C$6, 'Min. Expl. By Commodity (Data)'!$A$9:$B$19, 2, FALSE))),
        "",
        OFFSET('Min. Expl. By Commodity (Data)'!F40, 0, VLOOKUP($C$6, 'Min. Expl. By Commodity (Data)'!$A$9:$B$19, 2, FALSE))
)</f>
        <v>369.3</v>
      </c>
      <c r="F40" s="180">
        <f t="shared" ca="1" si="0"/>
        <v>0.48713782832385594</v>
      </c>
    </row>
    <row r="41" spans="1:6" x14ac:dyDescent="0.3">
      <c r="A41">
        <f t="shared" si="7"/>
        <v>2007</v>
      </c>
      <c r="B41" s="179">
        <v>39234</v>
      </c>
      <c r="C41" s="186">
        <f ca="1">IF(ISBLANK(OFFSET('Min. Expl. By Commodity (Data)'!D41, 0, VLOOKUP($C$6, 'Min. Expl. By Commodity (Data)'!$A$9:$B$19, 2, FALSE))),
        "",
        OFFSET('Min. Expl. By Commodity (Data)'!D41, 0, VLOOKUP($C$6, 'Min. Expl. By Commodity (Data)'!$A$9:$B$19, 2, FALSE))
)</f>
        <v>251.8</v>
      </c>
      <c r="D41" s="187">
        <f ca="1">IF(ISBLANK(OFFSET('Min. Expl. By Commodity (Data)'!E41, 0, VLOOKUP($C$6, 'Min. Expl. By Commodity (Data)'!$A$9:$B$19, 2, FALSE))),
        "",
        OFFSET('Min. Expl. By Commodity (Data)'!E41, 0, VLOOKUP($C$6, 'Min. Expl. By Commodity (Data)'!$A$9:$B$19, 2, FALSE))
)</f>
        <v>250.7</v>
      </c>
      <c r="E41" s="186">
        <f ca="1">IF(ISBLANK(OFFSET('Min. Expl. By Commodity (Data)'!F41, 0, VLOOKUP($C$6, 'Min. Expl. By Commodity (Data)'!$A$9:$B$19, 2, FALSE))),
        "",
        OFFSET('Min. Expl. By Commodity (Data)'!F41, 0, VLOOKUP($C$6, 'Min. Expl. By Commodity (Data)'!$A$9:$B$19, 2, FALSE))
)</f>
        <v>502.5</v>
      </c>
      <c r="F41" s="188">
        <f t="shared" ca="1" si="0"/>
        <v>0.50109452736318405</v>
      </c>
    </row>
    <row r="42" spans="1:6" x14ac:dyDescent="0.3">
      <c r="A42">
        <f t="shared" si="7"/>
        <v>2007</v>
      </c>
      <c r="B42" s="179">
        <v>39326</v>
      </c>
      <c r="C42" s="18">
        <f ca="1">IF(ISBLANK(OFFSET('Min. Expl. By Commodity (Data)'!D42, 0, VLOOKUP($C$6, 'Min. Expl. By Commodity (Data)'!$A$9:$B$19, 2, FALSE))),
        "",
        OFFSET('Min. Expl. By Commodity (Data)'!D42, 0, VLOOKUP($C$6, 'Min. Expl. By Commodity (Data)'!$A$9:$B$19, 2, FALSE))
)</f>
        <v>293.3</v>
      </c>
      <c r="D42" s="19">
        <f ca="1">IF(ISBLANK(OFFSET('Min. Expl. By Commodity (Data)'!E42, 0, VLOOKUP($C$6, 'Min. Expl. By Commodity (Data)'!$A$9:$B$19, 2, FALSE))),
        "",
        OFFSET('Min. Expl. By Commodity (Data)'!E42, 0, VLOOKUP($C$6, 'Min. Expl. By Commodity (Data)'!$A$9:$B$19, 2, FALSE))
)</f>
        <v>270.09999999999997</v>
      </c>
      <c r="E42" s="18">
        <f ca="1">IF(ISBLANK(OFFSET('Min. Expl. By Commodity (Data)'!F42, 0, VLOOKUP($C$6, 'Min. Expl. By Commodity (Data)'!$A$9:$B$19, 2, FALSE))),
        "",
        OFFSET('Min. Expl. By Commodity (Data)'!F42, 0, VLOOKUP($C$6, 'Min. Expl. By Commodity (Data)'!$A$9:$B$19, 2, FALSE))
)</f>
        <v>563.4</v>
      </c>
      <c r="F42" s="180">
        <f t="shared" ca="1" si="0"/>
        <v>0.52058927937522192</v>
      </c>
    </row>
    <row r="43" spans="1:6" x14ac:dyDescent="0.3">
      <c r="A43">
        <f t="shared" si="7"/>
        <v>2007</v>
      </c>
      <c r="B43" s="179">
        <v>39417</v>
      </c>
      <c r="C43" s="186">
        <f ca="1">IF(ISBLANK(OFFSET('Min. Expl. By Commodity (Data)'!D43, 0, VLOOKUP($C$6, 'Min. Expl. By Commodity (Data)'!$A$9:$B$19, 2, FALSE))),
        "",
        OFFSET('Min. Expl. By Commodity (Data)'!D43, 0, VLOOKUP($C$6, 'Min. Expl. By Commodity (Data)'!$A$9:$B$19, 2, FALSE))
)</f>
        <v>313.8</v>
      </c>
      <c r="D43" s="187">
        <f ca="1">IF(ISBLANK(OFFSET('Min. Expl. By Commodity (Data)'!E43, 0, VLOOKUP($C$6, 'Min. Expl. By Commodity (Data)'!$A$9:$B$19, 2, FALSE))),
        "",
        OFFSET('Min. Expl. By Commodity (Data)'!E43, 0, VLOOKUP($C$6, 'Min. Expl. By Commodity (Data)'!$A$9:$B$19, 2, FALSE))
)</f>
        <v>312.09999999999997</v>
      </c>
      <c r="E43" s="186">
        <f ca="1">IF(ISBLANK(OFFSET('Min. Expl. By Commodity (Data)'!F43, 0, VLOOKUP($C$6, 'Min. Expl. By Commodity (Data)'!$A$9:$B$19, 2, FALSE))),
        "",
        OFFSET('Min. Expl. By Commodity (Data)'!F43, 0, VLOOKUP($C$6, 'Min. Expl. By Commodity (Data)'!$A$9:$B$19, 2, FALSE))
)</f>
        <v>625.9</v>
      </c>
      <c r="F43" s="188">
        <f t="shared" ca="1" si="0"/>
        <v>0.50135804441604093</v>
      </c>
    </row>
    <row r="44" spans="1:6" x14ac:dyDescent="0.3">
      <c r="A44">
        <f t="shared" si="7"/>
        <v>2008</v>
      </c>
      <c r="B44" s="179">
        <v>39508</v>
      </c>
      <c r="C44" s="18">
        <f ca="1">IF(ISBLANK(OFFSET('Min. Expl. By Commodity (Data)'!D44, 0, VLOOKUP($C$6, 'Min. Expl. By Commodity (Data)'!$A$9:$B$19, 2, FALSE))),
        "",
        OFFSET('Min. Expl. By Commodity (Data)'!D44, 0, VLOOKUP($C$6, 'Min. Expl. By Commodity (Data)'!$A$9:$B$19, 2, FALSE))
)</f>
        <v>271.39999999999998</v>
      </c>
      <c r="D44" s="19">
        <f ca="1">IF(ISBLANK(OFFSET('Min. Expl. By Commodity (Data)'!E44, 0, VLOOKUP($C$6, 'Min. Expl. By Commodity (Data)'!$A$9:$B$19, 2, FALSE))),
        "",
        OFFSET('Min. Expl. By Commodity (Data)'!E44, 0, VLOOKUP($C$6, 'Min. Expl. By Commodity (Data)'!$A$9:$B$19, 2, FALSE))
)</f>
        <v>272.60000000000002</v>
      </c>
      <c r="E44" s="18">
        <f ca="1">IF(ISBLANK(OFFSET('Min. Expl. By Commodity (Data)'!F44, 0, VLOOKUP($C$6, 'Min. Expl. By Commodity (Data)'!$A$9:$B$19, 2, FALSE))),
        "",
        OFFSET('Min. Expl. By Commodity (Data)'!F44, 0, VLOOKUP($C$6, 'Min. Expl. By Commodity (Data)'!$A$9:$B$19, 2, FALSE))
)</f>
        <v>544</v>
      </c>
      <c r="F44" s="180">
        <f t="shared" ca="1" si="0"/>
        <v>0.49889705882352936</v>
      </c>
    </row>
    <row r="45" spans="1:6" x14ac:dyDescent="0.3">
      <c r="A45">
        <f t="shared" si="7"/>
        <v>2008</v>
      </c>
      <c r="B45" s="179">
        <v>39600</v>
      </c>
      <c r="C45" s="186">
        <f ca="1">IF(ISBLANK(OFFSET('Min. Expl. By Commodity (Data)'!D45, 0, VLOOKUP($C$6, 'Min. Expl. By Commodity (Data)'!$A$9:$B$19, 2, FALSE))),
        "",
        OFFSET('Min. Expl. By Commodity (Data)'!D45, 0, VLOOKUP($C$6, 'Min. Expl. By Commodity (Data)'!$A$9:$B$19, 2, FALSE))
)</f>
        <v>381.2</v>
      </c>
      <c r="D45" s="187">
        <f ca="1">IF(ISBLANK(OFFSET('Min. Expl. By Commodity (Data)'!E45, 0, VLOOKUP($C$6, 'Min. Expl. By Commodity (Data)'!$A$9:$B$19, 2, FALSE))),
        "",
        OFFSET('Min. Expl. By Commodity (Data)'!E45, 0, VLOOKUP($C$6, 'Min. Expl. By Commodity (Data)'!$A$9:$B$19, 2, FALSE))
)</f>
        <v>346.90000000000003</v>
      </c>
      <c r="E45" s="186">
        <f ca="1">IF(ISBLANK(OFFSET('Min. Expl. By Commodity (Data)'!F45, 0, VLOOKUP($C$6, 'Min. Expl. By Commodity (Data)'!$A$9:$B$19, 2, FALSE))),
        "",
        OFFSET('Min. Expl. By Commodity (Data)'!F45, 0, VLOOKUP($C$6, 'Min. Expl. By Commodity (Data)'!$A$9:$B$19, 2, FALSE))
)</f>
        <v>728.1</v>
      </c>
      <c r="F45" s="188">
        <f t="shared" ca="1" si="0"/>
        <v>0.52355445680538382</v>
      </c>
    </row>
    <row r="46" spans="1:6" x14ac:dyDescent="0.3">
      <c r="A46">
        <f t="shared" si="7"/>
        <v>2008</v>
      </c>
      <c r="B46" s="179">
        <v>39692</v>
      </c>
      <c r="C46" s="18">
        <f ca="1">IF(ISBLANK(OFFSET('Min. Expl. By Commodity (Data)'!D46, 0, VLOOKUP($C$6, 'Min. Expl. By Commodity (Data)'!$A$9:$B$19, 2, FALSE))),
        "",
        OFFSET('Min. Expl. By Commodity (Data)'!D46, 0, VLOOKUP($C$6, 'Min. Expl. By Commodity (Data)'!$A$9:$B$19, 2, FALSE))
)</f>
        <v>383.8</v>
      </c>
      <c r="D46" s="19">
        <f ca="1">IF(ISBLANK(OFFSET('Min. Expl. By Commodity (Data)'!E46, 0, VLOOKUP($C$6, 'Min. Expl. By Commodity (Data)'!$A$9:$B$19, 2, FALSE))),
        "",
        OFFSET('Min. Expl. By Commodity (Data)'!E46, 0, VLOOKUP($C$6, 'Min. Expl. By Commodity (Data)'!$A$9:$B$19, 2, FALSE))
)</f>
        <v>303.90000000000003</v>
      </c>
      <c r="E46" s="18">
        <f ca="1">IF(ISBLANK(OFFSET('Min. Expl. By Commodity (Data)'!F46, 0, VLOOKUP($C$6, 'Min. Expl. By Commodity (Data)'!$A$9:$B$19, 2, FALSE))),
        "",
        OFFSET('Min. Expl. By Commodity (Data)'!F46, 0, VLOOKUP($C$6, 'Min. Expl. By Commodity (Data)'!$A$9:$B$19, 2, FALSE))
)</f>
        <v>687.7</v>
      </c>
      <c r="F46" s="180">
        <f t="shared" ca="1" si="0"/>
        <v>0.55809219136251276</v>
      </c>
    </row>
    <row r="47" spans="1:6" x14ac:dyDescent="0.3">
      <c r="A47">
        <f t="shared" si="7"/>
        <v>2008</v>
      </c>
      <c r="B47" s="179">
        <v>39783</v>
      </c>
      <c r="C47" s="186">
        <f ca="1">IF(ISBLANK(OFFSET('Min. Expl. By Commodity (Data)'!D47, 0, VLOOKUP($C$6, 'Min. Expl. By Commodity (Data)'!$A$9:$B$19, 2, FALSE))),
        "",
        OFFSET('Min. Expl. By Commodity (Data)'!D47, 0, VLOOKUP($C$6, 'Min. Expl. By Commodity (Data)'!$A$9:$B$19, 2, FALSE))
)</f>
        <v>364</v>
      </c>
      <c r="D47" s="187">
        <f ca="1">IF(ISBLANK(OFFSET('Min. Expl. By Commodity (Data)'!E47, 0, VLOOKUP($C$6, 'Min. Expl. By Commodity (Data)'!$A$9:$B$19, 2, FALSE))),
        "",
        OFFSET('Min. Expl. By Commodity (Data)'!E47, 0, VLOOKUP($C$6, 'Min. Expl. By Commodity (Data)'!$A$9:$B$19, 2, FALSE))
)</f>
        <v>284.5</v>
      </c>
      <c r="E47" s="186">
        <f ca="1">IF(ISBLANK(OFFSET('Min. Expl. By Commodity (Data)'!F47, 0, VLOOKUP($C$6, 'Min. Expl. By Commodity (Data)'!$A$9:$B$19, 2, FALSE))),
        "",
        OFFSET('Min. Expl. By Commodity (Data)'!F47, 0, VLOOKUP($C$6, 'Min. Expl. By Commodity (Data)'!$A$9:$B$19, 2, FALSE))
)</f>
        <v>648.5</v>
      </c>
      <c r="F47" s="188">
        <f t="shared" ca="1" si="0"/>
        <v>0.56129529683885893</v>
      </c>
    </row>
    <row r="48" spans="1:6" x14ac:dyDescent="0.3">
      <c r="A48">
        <f t="shared" si="7"/>
        <v>2009</v>
      </c>
      <c r="B48" s="179">
        <v>39873</v>
      </c>
      <c r="C48" s="18">
        <f ca="1">IF(ISBLANK(OFFSET('Min. Expl. By Commodity (Data)'!D48, 0, VLOOKUP($C$6, 'Min. Expl. By Commodity (Data)'!$A$9:$B$19, 2, FALSE))),
        "",
        OFFSET('Min. Expl. By Commodity (Data)'!D48, 0, VLOOKUP($C$6, 'Min. Expl. By Commodity (Data)'!$A$9:$B$19, 2, FALSE))
)</f>
        <v>224.2</v>
      </c>
      <c r="D48" s="19">
        <f ca="1">IF(ISBLANK(OFFSET('Min. Expl. By Commodity (Data)'!E48, 0, VLOOKUP($C$6, 'Min. Expl. By Commodity (Data)'!$A$9:$B$19, 2, FALSE))),
        "",
        OFFSET('Min. Expl. By Commodity (Data)'!E48, 0, VLOOKUP($C$6, 'Min. Expl. By Commodity (Data)'!$A$9:$B$19, 2, FALSE))
)</f>
        <v>179.3</v>
      </c>
      <c r="E48" s="18">
        <f ca="1">IF(ISBLANK(OFFSET('Min. Expl. By Commodity (Data)'!F48, 0, VLOOKUP($C$6, 'Min. Expl. By Commodity (Data)'!$A$9:$B$19, 2, FALSE))),
        "",
        OFFSET('Min. Expl. By Commodity (Data)'!F48, 0, VLOOKUP($C$6, 'Min. Expl. By Commodity (Data)'!$A$9:$B$19, 2, FALSE))
)</f>
        <v>403.5</v>
      </c>
      <c r="F48" s="180">
        <f t="shared" ca="1" si="0"/>
        <v>0.55563816604708793</v>
      </c>
    </row>
    <row r="49" spans="1:6" x14ac:dyDescent="0.3">
      <c r="A49">
        <f t="shared" si="7"/>
        <v>2009</v>
      </c>
      <c r="B49" s="179">
        <v>39965</v>
      </c>
      <c r="C49" s="186">
        <f ca="1">IF(ISBLANK(OFFSET('Min. Expl. By Commodity (Data)'!D49, 0, VLOOKUP($C$6, 'Min. Expl. By Commodity (Data)'!$A$9:$B$19, 2, FALSE))),
        "",
        OFFSET('Min. Expl. By Commodity (Data)'!D49, 0, VLOOKUP($C$6, 'Min. Expl. By Commodity (Data)'!$A$9:$B$19, 2, FALSE))
)</f>
        <v>274.8</v>
      </c>
      <c r="D49" s="187">
        <f ca="1">IF(ISBLANK(OFFSET('Min. Expl. By Commodity (Data)'!E49, 0, VLOOKUP($C$6, 'Min. Expl. By Commodity (Data)'!$A$9:$B$19, 2, FALSE))),
        "",
        OFFSET('Min. Expl. By Commodity (Data)'!E49, 0, VLOOKUP($C$6, 'Min. Expl. By Commodity (Data)'!$A$9:$B$19, 2, FALSE))
)</f>
        <v>208.7</v>
      </c>
      <c r="E49" s="186">
        <f ca="1">IF(ISBLANK(OFFSET('Min. Expl. By Commodity (Data)'!F49, 0, VLOOKUP($C$6, 'Min. Expl. By Commodity (Data)'!$A$9:$B$19, 2, FALSE))),
        "",
        OFFSET('Min. Expl. By Commodity (Data)'!F49, 0, VLOOKUP($C$6, 'Min. Expl. By Commodity (Data)'!$A$9:$B$19, 2, FALSE))
)</f>
        <v>483.5</v>
      </c>
      <c r="F49" s="188">
        <f t="shared" ca="1" si="0"/>
        <v>0.56835573940020689</v>
      </c>
    </row>
    <row r="50" spans="1:6" x14ac:dyDescent="0.3">
      <c r="A50">
        <f t="shared" si="7"/>
        <v>2009</v>
      </c>
      <c r="B50" s="179">
        <v>40057</v>
      </c>
      <c r="C50" s="18">
        <f ca="1">IF(ISBLANK(OFFSET('Min. Expl. By Commodity (Data)'!D50, 0, VLOOKUP($C$6, 'Min. Expl. By Commodity (Data)'!$A$9:$B$19, 2, FALSE))),
        "",
        OFFSET('Min. Expl. By Commodity (Data)'!D50, 0, VLOOKUP($C$6, 'Min. Expl. By Commodity (Data)'!$A$9:$B$19, 2, FALSE))
)</f>
        <v>298.89999999999998</v>
      </c>
      <c r="D50" s="19">
        <f ca="1">IF(ISBLANK(OFFSET('Min. Expl. By Commodity (Data)'!E50, 0, VLOOKUP($C$6, 'Min. Expl. By Commodity (Data)'!$A$9:$B$19, 2, FALSE))),
        "",
        OFFSET('Min. Expl. By Commodity (Data)'!E50, 0, VLOOKUP($C$6, 'Min. Expl. By Commodity (Data)'!$A$9:$B$19, 2, FALSE))
)</f>
        <v>258.5</v>
      </c>
      <c r="E50" s="18">
        <f ca="1">IF(ISBLANK(OFFSET('Min. Expl. By Commodity (Data)'!F50, 0, VLOOKUP($C$6, 'Min. Expl. By Commodity (Data)'!$A$9:$B$19, 2, FALSE))),
        "",
        OFFSET('Min. Expl. By Commodity (Data)'!F50, 0, VLOOKUP($C$6, 'Min. Expl. By Commodity (Data)'!$A$9:$B$19, 2, FALSE))
)</f>
        <v>557.4</v>
      </c>
      <c r="F50" s="180">
        <f t="shared" ca="1" si="0"/>
        <v>0.5362396842482956</v>
      </c>
    </row>
    <row r="51" spans="1:6" x14ac:dyDescent="0.3">
      <c r="A51">
        <f t="shared" si="7"/>
        <v>2009</v>
      </c>
      <c r="B51" s="179">
        <v>40148</v>
      </c>
      <c r="C51" s="186">
        <f ca="1">IF(ISBLANK(OFFSET('Min. Expl. By Commodity (Data)'!D51, 0, VLOOKUP($C$6, 'Min. Expl. By Commodity (Data)'!$A$9:$B$19, 2, FALSE))),
        "",
        OFFSET('Min. Expl. By Commodity (Data)'!D51, 0, VLOOKUP($C$6, 'Min. Expl. By Commodity (Data)'!$A$9:$B$19, 2, FALSE))
)</f>
        <v>321.7</v>
      </c>
      <c r="D51" s="187">
        <f ca="1">IF(ISBLANK(OFFSET('Min. Expl. By Commodity (Data)'!E51, 0, VLOOKUP($C$6, 'Min. Expl. By Commodity (Data)'!$A$9:$B$19, 2, FALSE))),
        "",
        OFFSET('Min. Expl. By Commodity (Data)'!E51, 0, VLOOKUP($C$6, 'Min. Expl. By Commodity (Data)'!$A$9:$B$19, 2, FALSE))
)</f>
        <v>257.09999999999997</v>
      </c>
      <c r="E51" s="186">
        <f ca="1">IF(ISBLANK(OFFSET('Min. Expl. By Commodity (Data)'!F51, 0, VLOOKUP($C$6, 'Min. Expl. By Commodity (Data)'!$A$9:$B$19, 2, FALSE))),
        "",
        OFFSET('Min. Expl. By Commodity (Data)'!F51, 0, VLOOKUP($C$6, 'Min. Expl. By Commodity (Data)'!$A$9:$B$19, 2, FALSE))
)</f>
        <v>578.79999999999995</v>
      </c>
      <c r="F51" s="188">
        <f t="shared" ca="1" si="0"/>
        <v>0.55580511402902555</v>
      </c>
    </row>
    <row r="52" spans="1:6" x14ac:dyDescent="0.3">
      <c r="A52">
        <f t="shared" si="7"/>
        <v>2010</v>
      </c>
      <c r="B52" s="179">
        <v>40238</v>
      </c>
      <c r="C52" s="18">
        <f ca="1">IF(ISBLANK(OFFSET('Min. Expl. By Commodity (Data)'!D52, 0, VLOOKUP($C$6, 'Min. Expl. By Commodity (Data)'!$A$9:$B$19, 2, FALSE))),
        "",
        OFFSET('Min. Expl. By Commodity (Data)'!D52, 0, VLOOKUP($C$6, 'Min. Expl. By Commodity (Data)'!$A$9:$B$19, 2, FALSE))
)</f>
        <v>257.10000000000002</v>
      </c>
      <c r="D52" s="19">
        <f ca="1">IF(ISBLANK(OFFSET('Min. Expl. By Commodity (Data)'!E52, 0, VLOOKUP($C$6, 'Min. Expl. By Commodity (Data)'!$A$9:$B$19, 2, FALSE))),
        "",
        OFFSET('Min. Expl. By Commodity (Data)'!E52, 0, VLOOKUP($C$6, 'Min. Expl. By Commodity (Data)'!$A$9:$B$19, 2, FALSE))
)</f>
        <v>202.2</v>
      </c>
      <c r="E52" s="18">
        <f ca="1">IF(ISBLANK(OFFSET('Min. Expl. By Commodity (Data)'!F52, 0, VLOOKUP($C$6, 'Min. Expl. By Commodity (Data)'!$A$9:$B$19, 2, FALSE))),
        "",
        OFFSET('Min. Expl. By Commodity (Data)'!F52, 0, VLOOKUP($C$6, 'Min. Expl. By Commodity (Data)'!$A$9:$B$19, 2, FALSE))
)</f>
        <v>459.3</v>
      </c>
      <c r="F52" s="180">
        <f t="shared" ca="1" si="0"/>
        <v>0.5597648595689092</v>
      </c>
    </row>
    <row r="53" spans="1:6" x14ac:dyDescent="0.3">
      <c r="A53">
        <f t="shared" si="7"/>
        <v>2010</v>
      </c>
      <c r="B53" s="179">
        <v>40330</v>
      </c>
      <c r="C53" s="186">
        <f ca="1">IF(ISBLANK(OFFSET('Min. Expl. By Commodity (Data)'!D53, 0, VLOOKUP($C$6, 'Min. Expl. By Commodity (Data)'!$A$9:$B$19, 2, FALSE))),
        "",
        OFFSET('Min. Expl. By Commodity (Data)'!D53, 0, VLOOKUP($C$6, 'Min. Expl. By Commodity (Data)'!$A$9:$B$19, 2, FALSE))
)</f>
        <v>366.3</v>
      </c>
      <c r="D53" s="187">
        <f ca="1">IF(ISBLANK(OFFSET('Min. Expl. By Commodity (Data)'!E53, 0, VLOOKUP($C$6, 'Min. Expl. By Commodity (Data)'!$A$9:$B$19, 2, FALSE))),
        "",
        OFFSET('Min. Expl. By Commodity (Data)'!E53, 0, VLOOKUP($C$6, 'Min. Expl. By Commodity (Data)'!$A$9:$B$19, 2, FALSE))
)</f>
        <v>270.8</v>
      </c>
      <c r="E53" s="186">
        <f ca="1">IF(ISBLANK(OFFSET('Min. Expl. By Commodity (Data)'!F53, 0, VLOOKUP($C$6, 'Min. Expl. By Commodity (Data)'!$A$9:$B$19, 2, FALSE))),
        "",
        OFFSET('Min. Expl. By Commodity (Data)'!F53, 0, VLOOKUP($C$6, 'Min. Expl. By Commodity (Data)'!$A$9:$B$19, 2, FALSE))
)</f>
        <v>637.1</v>
      </c>
      <c r="F53" s="188">
        <f t="shared" ca="1" si="0"/>
        <v>0.57494898760006274</v>
      </c>
    </row>
    <row r="54" spans="1:6" x14ac:dyDescent="0.3">
      <c r="A54">
        <f t="shared" si="7"/>
        <v>2010</v>
      </c>
      <c r="B54" s="179">
        <v>40422</v>
      </c>
      <c r="C54" s="18">
        <f ca="1">IF(ISBLANK(OFFSET('Min. Expl. By Commodity (Data)'!D54, 0, VLOOKUP($C$6, 'Min. Expl. By Commodity (Data)'!$A$9:$B$19, 2, FALSE))),
        "",
        OFFSET('Min. Expl. By Commodity (Data)'!D54, 0, VLOOKUP($C$6, 'Min. Expl. By Commodity (Data)'!$A$9:$B$19, 2, FALSE))
)</f>
        <v>384.6</v>
      </c>
      <c r="D54" s="19">
        <f ca="1">IF(ISBLANK(OFFSET('Min. Expl. By Commodity (Data)'!E54, 0, VLOOKUP($C$6, 'Min. Expl. By Commodity (Data)'!$A$9:$B$19, 2, FALSE))),
        "",
        OFFSET('Min. Expl. By Commodity (Data)'!E54, 0, VLOOKUP($C$6, 'Min. Expl. By Commodity (Data)'!$A$9:$B$19, 2, FALSE))
)</f>
        <v>284.79999999999995</v>
      </c>
      <c r="E54" s="18">
        <f ca="1">IF(ISBLANK(OFFSET('Min. Expl. By Commodity (Data)'!F54, 0, VLOOKUP($C$6, 'Min. Expl. By Commodity (Data)'!$A$9:$B$19, 2, FALSE))),
        "",
        OFFSET('Min. Expl. By Commodity (Data)'!F54, 0, VLOOKUP($C$6, 'Min. Expl. By Commodity (Data)'!$A$9:$B$19, 2, FALSE))
)</f>
        <v>669.4</v>
      </c>
      <c r="F54" s="180">
        <f t="shared" ca="1" si="0"/>
        <v>0.57454436809082765</v>
      </c>
    </row>
    <row r="55" spans="1:6" x14ac:dyDescent="0.3">
      <c r="A55">
        <f t="shared" si="7"/>
        <v>2010</v>
      </c>
      <c r="B55" s="179">
        <v>40513</v>
      </c>
      <c r="C55" s="186">
        <f ca="1">IF(ISBLANK(OFFSET('Min. Expl. By Commodity (Data)'!D55, 0, VLOOKUP($C$6, 'Min. Expl. By Commodity (Data)'!$A$9:$B$19, 2, FALSE))),
        "",
        OFFSET('Min. Expl. By Commodity (Data)'!D55, 0, VLOOKUP($C$6, 'Min. Expl. By Commodity (Data)'!$A$9:$B$19, 2, FALSE))
)</f>
        <v>393.7</v>
      </c>
      <c r="D55" s="187">
        <f ca="1">IF(ISBLANK(OFFSET('Min. Expl. By Commodity (Data)'!E55, 0, VLOOKUP($C$6, 'Min. Expl. By Commodity (Data)'!$A$9:$B$19, 2, FALSE))),
        "",
        OFFSET('Min. Expl. By Commodity (Data)'!E55, 0, VLOOKUP($C$6, 'Min. Expl. By Commodity (Data)'!$A$9:$B$19, 2, FALSE))
)</f>
        <v>330.7</v>
      </c>
      <c r="E55" s="186">
        <f ca="1">IF(ISBLANK(OFFSET('Min. Expl. By Commodity (Data)'!F55, 0, VLOOKUP($C$6, 'Min. Expl. By Commodity (Data)'!$A$9:$B$19, 2, FALSE))),
        "",
        OFFSET('Min. Expl. By Commodity (Data)'!F55, 0, VLOOKUP($C$6, 'Min. Expl. By Commodity (Data)'!$A$9:$B$19, 2, FALSE))
)</f>
        <v>724.4</v>
      </c>
      <c r="F55" s="188">
        <f t="shared" ca="1" si="0"/>
        <v>0.54348426283821094</v>
      </c>
    </row>
    <row r="56" spans="1:6" x14ac:dyDescent="0.3">
      <c r="A56">
        <f t="shared" si="7"/>
        <v>2011</v>
      </c>
      <c r="B56" s="179">
        <v>40603</v>
      </c>
      <c r="C56" s="18">
        <f ca="1">IF(ISBLANK(OFFSET('Min. Expl. By Commodity (Data)'!D56, 0, VLOOKUP($C$6, 'Min. Expl. By Commodity (Data)'!$A$9:$B$19, 2, FALSE))),
        "",
        OFFSET('Min. Expl. By Commodity (Data)'!D56, 0, VLOOKUP($C$6, 'Min. Expl. By Commodity (Data)'!$A$9:$B$19, 2, FALSE))
)</f>
        <v>362.2</v>
      </c>
      <c r="D56" s="19">
        <f ca="1">IF(ISBLANK(OFFSET('Min. Expl. By Commodity (Data)'!E56, 0, VLOOKUP($C$6, 'Min. Expl. By Commodity (Data)'!$A$9:$B$19, 2, FALSE))),
        "",
        OFFSET('Min. Expl. By Commodity (Data)'!E56, 0, VLOOKUP($C$6, 'Min. Expl. By Commodity (Data)'!$A$9:$B$19, 2, FALSE))
)</f>
        <v>287.90000000000003</v>
      </c>
      <c r="E56" s="18">
        <f ca="1">IF(ISBLANK(OFFSET('Min. Expl. By Commodity (Data)'!F56, 0, VLOOKUP($C$6, 'Min. Expl. By Commodity (Data)'!$A$9:$B$19, 2, FALSE))),
        "",
        OFFSET('Min. Expl. By Commodity (Data)'!F56, 0, VLOOKUP($C$6, 'Min. Expl. By Commodity (Data)'!$A$9:$B$19, 2, FALSE))
)</f>
        <v>650.1</v>
      </c>
      <c r="F56" s="180">
        <f t="shared" ca="1" si="0"/>
        <v>0.55714505460698349</v>
      </c>
    </row>
    <row r="57" spans="1:6" x14ac:dyDescent="0.3">
      <c r="A57">
        <f t="shared" si="7"/>
        <v>2011</v>
      </c>
      <c r="B57" s="179">
        <v>40695</v>
      </c>
      <c r="C57" s="186">
        <f ca="1">IF(ISBLANK(OFFSET('Min. Expl. By Commodity (Data)'!D57, 0, VLOOKUP($C$6, 'Min. Expl. By Commodity (Data)'!$A$9:$B$19, 2, FALSE))),
        "",
        OFFSET('Min. Expl. By Commodity (Data)'!D57, 0, VLOOKUP($C$6, 'Min. Expl. By Commodity (Data)'!$A$9:$B$19, 2, FALSE))
)</f>
        <v>449.6</v>
      </c>
      <c r="D57" s="187">
        <f ca="1">IF(ISBLANK(OFFSET('Min. Expl. By Commodity (Data)'!E57, 0, VLOOKUP($C$6, 'Min. Expl. By Commodity (Data)'!$A$9:$B$19, 2, FALSE))),
        "",
        OFFSET('Min. Expl. By Commodity (Data)'!E57, 0, VLOOKUP($C$6, 'Min. Expl. By Commodity (Data)'!$A$9:$B$19, 2, FALSE))
)</f>
        <v>457.79999999999995</v>
      </c>
      <c r="E57" s="186">
        <f ca="1">IF(ISBLANK(OFFSET('Min. Expl. By Commodity (Data)'!F57, 0, VLOOKUP($C$6, 'Min. Expl. By Commodity (Data)'!$A$9:$B$19, 2, FALSE))),
        "",
        OFFSET('Min. Expl. By Commodity (Data)'!F57, 0, VLOOKUP($C$6, 'Min. Expl. By Commodity (Data)'!$A$9:$B$19, 2, FALSE))
)</f>
        <v>907.4</v>
      </c>
      <c r="F57" s="188">
        <f t="shared" ca="1" si="0"/>
        <v>0.49548159576812878</v>
      </c>
    </row>
    <row r="58" spans="1:6" x14ac:dyDescent="0.3">
      <c r="A58">
        <f t="shared" si="7"/>
        <v>2011</v>
      </c>
      <c r="B58" s="179">
        <v>40787</v>
      </c>
      <c r="C58" s="18">
        <f ca="1">IF(ISBLANK(OFFSET('Min. Expl. By Commodity (Data)'!D58, 0, VLOOKUP($C$6, 'Min. Expl. By Commodity (Data)'!$A$9:$B$19, 2, FALSE))),
        "",
        OFFSET('Min. Expl. By Commodity (Data)'!D58, 0, VLOOKUP($C$6, 'Min. Expl. By Commodity (Data)'!$A$9:$B$19, 2, FALSE))
)</f>
        <v>481.6</v>
      </c>
      <c r="D58" s="19">
        <f ca="1">IF(ISBLANK(OFFSET('Min. Expl. By Commodity (Data)'!E58, 0, VLOOKUP($C$6, 'Min. Expl. By Commodity (Data)'!$A$9:$B$19, 2, FALSE))),
        "",
        OFFSET('Min. Expl. By Commodity (Data)'!E58, 0, VLOOKUP($C$6, 'Min. Expl. By Commodity (Data)'!$A$9:$B$19, 2, FALSE))
)</f>
        <v>501.79999999999995</v>
      </c>
      <c r="E58" s="18">
        <f ca="1">IF(ISBLANK(OFFSET('Min. Expl. By Commodity (Data)'!F58, 0, VLOOKUP($C$6, 'Min. Expl. By Commodity (Data)'!$A$9:$B$19, 2, FALSE))),
        "",
        OFFSET('Min. Expl. By Commodity (Data)'!F58, 0, VLOOKUP($C$6, 'Min. Expl. By Commodity (Data)'!$A$9:$B$19, 2, FALSE))
)</f>
        <v>983.4</v>
      </c>
      <c r="F58" s="180">
        <f t="shared" ca="1" si="0"/>
        <v>0.48972950986373809</v>
      </c>
    </row>
    <row r="59" spans="1:6" x14ac:dyDescent="0.3">
      <c r="A59">
        <f t="shared" si="7"/>
        <v>2011</v>
      </c>
      <c r="B59" s="179">
        <v>40878</v>
      </c>
      <c r="C59" s="186">
        <f ca="1">IF(ISBLANK(OFFSET('Min. Expl. By Commodity (Data)'!D59, 0, VLOOKUP($C$6, 'Min. Expl. By Commodity (Data)'!$A$9:$B$19, 2, FALSE))),
        "",
        OFFSET('Min. Expl. By Commodity (Data)'!D59, 0, VLOOKUP($C$6, 'Min. Expl. By Commodity (Data)'!$A$9:$B$19, 2, FALSE))
)</f>
        <v>531.9</v>
      </c>
      <c r="D59" s="187">
        <f ca="1">IF(ISBLANK(OFFSET('Min. Expl. By Commodity (Data)'!E59, 0, VLOOKUP($C$6, 'Min. Expl. By Commodity (Data)'!$A$9:$B$19, 2, FALSE))),
        "",
        OFFSET('Min. Expl. By Commodity (Data)'!E59, 0, VLOOKUP($C$6, 'Min. Expl. By Commodity (Data)'!$A$9:$B$19, 2, FALSE))
)</f>
        <v>500.50000000000011</v>
      </c>
      <c r="E59" s="186">
        <f ca="1">IF(ISBLANK(OFFSET('Min. Expl. By Commodity (Data)'!F59, 0, VLOOKUP($C$6, 'Min. Expl. By Commodity (Data)'!$A$9:$B$19, 2, FALSE))),
        "",
        OFFSET('Min. Expl. By Commodity (Data)'!F59, 0, VLOOKUP($C$6, 'Min. Expl. By Commodity (Data)'!$A$9:$B$19, 2, FALSE))
)</f>
        <v>1032.4000000000001</v>
      </c>
      <c r="F59" s="188">
        <f t="shared" ca="1" si="0"/>
        <v>0.51520728399845017</v>
      </c>
    </row>
    <row r="60" spans="1:6" x14ac:dyDescent="0.3">
      <c r="A60">
        <f t="shared" si="7"/>
        <v>2012</v>
      </c>
      <c r="B60" s="179">
        <v>40969</v>
      </c>
      <c r="C60" s="18">
        <f ca="1">IF(ISBLANK(OFFSET('Min. Expl. By Commodity (Data)'!D60, 0, VLOOKUP($C$6, 'Min. Expl. By Commodity (Data)'!$A$9:$B$19, 2, FALSE))),
        "",
        OFFSET('Min. Expl. By Commodity (Data)'!D60, 0, VLOOKUP($C$6, 'Min. Expl. By Commodity (Data)'!$A$9:$B$19, 2, FALSE))
)</f>
        <v>490.1</v>
      </c>
      <c r="D60" s="19">
        <f ca="1">IF(ISBLANK(OFFSET('Min. Expl. By Commodity (Data)'!E60, 0, VLOOKUP($C$6, 'Min. Expl. By Commodity (Data)'!$A$9:$B$19, 2, FALSE))),
        "",
        OFFSET('Min. Expl. By Commodity (Data)'!E60, 0, VLOOKUP($C$6, 'Min. Expl. By Commodity (Data)'!$A$9:$B$19, 2, FALSE))
)</f>
        <v>386</v>
      </c>
      <c r="E60" s="18">
        <f ca="1">IF(ISBLANK(OFFSET('Min. Expl. By Commodity (Data)'!F60, 0, VLOOKUP($C$6, 'Min. Expl. By Commodity (Data)'!$A$9:$B$19, 2, FALSE))),
        "",
        OFFSET('Min. Expl. By Commodity (Data)'!F60, 0, VLOOKUP($C$6, 'Min. Expl. By Commodity (Data)'!$A$9:$B$19, 2, FALSE))
)</f>
        <v>876.1</v>
      </c>
      <c r="F60" s="180">
        <f t="shared" ca="1" si="0"/>
        <v>0.55941102613856863</v>
      </c>
    </row>
    <row r="61" spans="1:6" x14ac:dyDescent="0.3">
      <c r="A61">
        <f t="shared" si="7"/>
        <v>2012</v>
      </c>
      <c r="B61" s="179">
        <v>41061</v>
      </c>
      <c r="C61" s="186">
        <f ca="1">IF(ISBLANK(OFFSET('Min. Expl. By Commodity (Data)'!D61, 0, VLOOKUP($C$6, 'Min. Expl. By Commodity (Data)'!$A$9:$B$19, 2, FALSE))),
        "",
        OFFSET('Min. Expl. By Commodity (Data)'!D61, 0, VLOOKUP($C$6, 'Min. Expl. By Commodity (Data)'!$A$9:$B$19, 2, FALSE))
)</f>
        <v>603.20000000000005</v>
      </c>
      <c r="D61" s="187">
        <f ca="1">IF(ISBLANK(OFFSET('Min. Expl. By Commodity (Data)'!E61, 0, VLOOKUP($C$6, 'Min. Expl. By Commodity (Data)'!$A$9:$B$19, 2, FALSE))),
        "",
        OFFSET('Min. Expl. By Commodity (Data)'!E61, 0, VLOOKUP($C$6, 'Min. Expl. By Commodity (Data)'!$A$9:$B$19, 2, FALSE))
)</f>
        <v>457.89999999999986</v>
      </c>
      <c r="E61" s="186">
        <f ca="1">IF(ISBLANK(OFFSET('Min. Expl. By Commodity (Data)'!F61, 0, VLOOKUP($C$6, 'Min. Expl. By Commodity (Data)'!$A$9:$B$19, 2, FALSE))),
        "",
        OFFSET('Min. Expl. By Commodity (Data)'!F61, 0, VLOOKUP($C$6, 'Min. Expl. By Commodity (Data)'!$A$9:$B$19, 2, FALSE))
)</f>
        <v>1061.0999999999999</v>
      </c>
      <c r="F61" s="188">
        <f t="shared" ca="1" si="0"/>
        <v>0.56846668551503166</v>
      </c>
    </row>
    <row r="62" spans="1:6" x14ac:dyDescent="0.3">
      <c r="A62">
        <f t="shared" si="7"/>
        <v>2012</v>
      </c>
      <c r="B62" s="179">
        <v>41153</v>
      </c>
      <c r="C62" s="18">
        <f ca="1">IF(ISBLANK(OFFSET('Min. Expl. By Commodity (Data)'!D62, 0, VLOOKUP($C$6, 'Min. Expl. By Commodity (Data)'!$A$9:$B$19, 2, FALSE))),
        "",
        OFFSET('Min. Expl. By Commodity (Data)'!D62, 0, VLOOKUP($C$6, 'Min. Expl. By Commodity (Data)'!$A$9:$B$19, 2, FALSE))
)</f>
        <v>488.6</v>
      </c>
      <c r="D62" s="19">
        <f ca="1">IF(ISBLANK(OFFSET('Min. Expl. By Commodity (Data)'!E62, 0, VLOOKUP($C$6, 'Min. Expl. By Commodity (Data)'!$A$9:$B$19, 2, FALSE))),
        "",
        OFFSET('Min. Expl. By Commodity (Data)'!E62, 0, VLOOKUP($C$6, 'Min. Expl. By Commodity (Data)'!$A$9:$B$19, 2, FALSE))
)</f>
        <v>406.1</v>
      </c>
      <c r="E62" s="18">
        <f ca="1">IF(ISBLANK(OFFSET('Min. Expl. By Commodity (Data)'!F62, 0, VLOOKUP($C$6, 'Min. Expl. By Commodity (Data)'!$A$9:$B$19, 2, FALSE))),
        "",
        OFFSET('Min. Expl. By Commodity (Data)'!F62, 0, VLOOKUP($C$6, 'Min. Expl. By Commodity (Data)'!$A$9:$B$19, 2, FALSE))
)</f>
        <v>894.7</v>
      </c>
      <c r="F62" s="180">
        <f t="shared" ca="1" si="0"/>
        <v>0.54610483961104284</v>
      </c>
    </row>
    <row r="63" spans="1:6" x14ac:dyDescent="0.3">
      <c r="A63">
        <f t="shared" si="7"/>
        <v>2012</v>
      </c>
      <c r="B63" s="179">
        <v>41244</v>
      </c>
      <c r="C63" s="186">
        <f ca="1">IF(ISBLANK(OFFSET('Min. Expl. By Commodity (Data)'!D63, 0, VLOOKUP($C$6, 'Min. Expl. By Commodity (Data)'!$A$9:$B$19, 2, FALSE))),
        "",
        OFFSET('Min. Expl. By Commodity (Data)'!D63, 0, VLOOKUP($C$6, 'Min. Expl. By Commodity (Data)'!$A$9:$B$19, 2, FALSE))
)</f>
        <v>470.7</v>
      </c>
      <c r="D63" s="187">
        <f ca="1">IF(ISBLANK(OFFSET('Min. Expl. By Commodity (Data)'!E63, 0, VLOOKUP($C$6, 'Min. Expl. By Commodity (Data)'!$A$9:$B$19, 2, FALSE))),
        "",
        OFFSET('Min. Expl. By Commodity (Data)'!E63, 0, VLOOKUP($C$6, 'Min. Expl. By Commodity (Data)'!$A$9:$B$19, 2, FALSE))
)</f>
        <v>353.2</v>
      </c>
      <c r="E63" s="186">
        <f ca="1">IF(ISBLANK(OFFSET('Min. Expl. By Commodity (Data)'!F63, 0, VLOOKUP($C$6, 'Min. Expl. By Commodity (Data)'!$A$9:$B$19, 2, FALSE))),
        "",
        OFFSET('Min. Expl. By Commodity (Data)'!F63, 0, VLOOKUP($C$6, 'Min. Expl. By Commodity (Data)'!$A$9:$B$19, 2, FALSE))
)</f>
        <v>823.9</v>
      </c>
      <c r="F63" s="188">
        <f t="shared" ca="1" si="0"/>
        <v>0.5713071974754218</v>
      </c>
    </row>
    <row r="64" spans="1:6" x14ac:dyDescent="0.3">
      <c r="A64">
        <f t="shared" si="7"/>
        <v>2013</v>
      </c>
      <c r="B64" s="179">
        <v>41334</v>
      </c>
      <c r="C64" s="18">
        <f ca="1">IF(ISBLANK(OFFSET('Min. Expl. By Commodity (Data)'!D64, 0, VLOOKUP($C$6, 'Min. Expl. By Commodity (Data)'!$A$9:$B$19, 2, FALSE))),
        "",
        OFFSET('Min. Expl. By Commodity (Data)'!D64, 0, VLOOKUP($C$6, 'Min. Expl. By Commodity (Data)'!$A$9:$B$19, 2, FALSE))
)</f>
        <v>421.8</v>
      </c>
      <c r="D64" s="19">
        <f ca="1">IF(ISBLANK(OFFSET('Min. Expl. By Commodity (Data)'!E64, 0, VLOOKUP($C$6, 'Min. Expl. By Commodity (Data)'!$A$9:$B$19, 2, FALSE))),
        "",
        OFFSET('Min. Expl. By Commodity (Data)'!E64, 0, VLOOKUP($C$6, 'Min. Expl. By Commodity (Data)'!$A$9:$B$19, 2, FALSE))
)</f>
        <v>250.40000000000003</v>
      </c>
      <c r="E64" s="18">
        <f ca="1">IF(ISBLANK(OFFSET('Min. Expl. By Commodity (Data)'!F64, 0, VLOOKUP($C$6, 'Min. Expl. By Commodity (Data)'!$A$9:$B$19, 2, FALSE))),
        "",
        OFFSET('Min. Expl. By Commodity (Data)'!F64, 0, VLOOKUP($C$6, 'Min. Expl. By Commodity (Data)'!$A$9:$B$19, 2, FALSE))
)</f>
        <v>672.2</v>
      </c>
      <c r="F64" s="180">
        <f t="shared" ca="1" si="0"/>
        <v>0.6274918179113359</v>
      </c>
    </row>
    <row r="65" spans="1:6" x14ac:dyDescent="0.3">
      <c r="A65">
        <f t="shared" si="7"/>
        <v>2013</v>
      </c>
      <c r="B65" s="179">
        <v>41426</v>
      </c>
      <c r="C65" s="186">
        <f ca="1">IF(ISBLANK(OFFSET('Min. Expl. By Commodity (Data)'!D65, 0, VLOOKUP($C$6, 'Min. Expl. By Commodity (Data)'!$A$9:$B$19, 2, FALSE))),
        "",
        OFFSET('Min. Expl. By Commodity (Data)'!D65, 0, VLOOKUP($C$6, 'Min. Expl. By Commodity (Data)'!$A$9:$B$19, 2, FALSE))
)</f>
        <v>382.3</v>
      </c>
      <c r="D65" s="187">
        <f ca="1">IF(ISBLANK(OFFSET('Min. Expl. By Commodity (Data)'!E65, 0, VLOOKUP($C$6, 'Min. Expl. By Commodity (Data)'!$A$9:$B$19, 2, FALSE))),
        "",
        OFFSET('Min. Expl. By Commodity (Data)'!E65, 0, VLOOKUP($C$6, 'Min. Expl. By Commodity (Data)'!$A$9:$B$19, 2, FALSE))
)</f>
        <v>282.3</v>
      </c>
      <c r="E65" s="186">
        <f ca="1">IF(ISBLANK(OFFSET('Min. Expl. By Commodity (Data)'!F65, 0, VLOOKUP($C$6, 'Min. Expl. By Commodity (Data)'!$A$9:$B$19, 2, FALSE))),
        "",
        OFFSET('Min. Expl. By Commodity (Data)'!F65, 0, VLOOKUP($C$6, 'Min. Expl. By Commodity (Data)'!$A$9:$B$19, 2, FALSE))
)</f>
        <v>664.6</v>
      </c>
      <c r="F65" s="188">
        <f t="shared" ca="1" si="0"/>
        <v>0.575233222991273</v>
      </c>
    </row>
    <row r="66" spans="1:6" x14ac:dyDescent="0.3">
      <c r="A66">
        <f t="shared" si="7"/>
        <v>2013</v>
      </c>
      <c r="B66" s="179">
        <v>41518</v>
      </c>
      <c r="C66" s="18">
        <f ca="1">IF(ISBLANK(OFFSET('Min. Expl. By Commodity (Data)'!D66, 0, VLOOKUP($C$6, 'Min. Expl. By Commodity (Data)'!$A$9:$B$19, 2, FALSE))),
        "",
        OFFSET('Min. Expl. By Commodity (Data)'!D66, 0, VLOOKUP($C$6, 'Min. Expl. By Commodity (Data)'!$A$9:$B$19, 2, FALSE))
)</f>
        <v>395.8</v>
      </c>
      <c r="D66" s="19">
        <f ca="1">IF(ISBLANK(OFFSET('Min. Expl. By Commodity (Data)'!E66, 0, VLOOKUP($C$6, 'Min. Expl. By Commodity (Data)'!$A$9:$B$19, 2, FALSE))),
        "",
        OFFSET('Min. Expl. By Commodity (Data)'!E66, 0, VLOOKUP($C$6, 'Min. Expl. By Commodity (Data)'!$A$9:$B$19, 2, FALSE))
)</f>
        <v>242.59999999999997</v>
      </c>
      <c r="E66" s="18">
        <f ca="1">IF(ISBLANK(OFFSET('Min. Expl. By Commodity (Data)'!F66, 0, VLOOKUP($C$6, 'Min. Expl. By Commodity (Data)'!$A$9:$B$19, 2, FALSE))),
        "",
        OFFSET('Min. Expl. By Commodity (Data)'!F66, 0, VLOOKUP($C$6, 'Min. Expl. By Commodity (Data)'!$A$9:$B$19, 2, FALSE))
)</f>
        <v>638.4</v>
      </c>
      <c r="F66" s="180">
        <f t="shared" ca="1" si="0"/>
        <v>0.6199874686716792</v>
      </c>
    </row>
    <row r="67" spans="1:6" x14ac:dyDescent="0.3">
      <c r="A67">
        <f t="shared" si="7"/>
        <v>2013</v>
      </c>
      <c r="B67" s="179">
        <v>41609</v>
      </c>
      <c r="C67" s="186">
        <f ca="1">IF(ISBLANK(OFFSET('Min. Expl. By Commodity (Data)'!D67, 0, VLOOKUP($C$6, 'Min. Expl. By Commodity (Data)'!$A$9:$B$19, 2, FALSE))),
        "",
        OFFSET('Min. Expl. By Commodity (Data)'!D67, 0, VLOOKUP($C$6, 'Min. Expl. By Commodity (Data)'!$A$9:$B$19, 2, FALSE))
)</f>
        <v>308.3</v>
      </c>
      <c r="D67" s="187">
        <f ca="1">IF(ISBLANK(OFFSET('Min. Expl. By Commodity (Data)'!E67, 0, VLOOKUP($C$6, 'Min. Expl. By Commodity (Data)'!$A$9:$B$19, 2, FALSE))),
        "",
        OFFSET('Min. Expl. By Commodity (Data)'!E67, 0, VLOOKUP($C$6, 'Min. Expl. By Commodity (Data)'!$A$9:$B$19, 2, FALSE))
)</f>
        <v>239.09999999999997</v>
      </c>
      <c r="E67" s="186">
        <f ca="1">IF(ISBLANK(OFFSET('Min. Expl. By Commodity (Data)'!F67, 0, VLOOKUP($C$6, 'Min. Expl. By Commodity (Data)'!$A$9:$B$19, 2, FALSE))),
        "",
        OFFSET('Min. Expl. By Commodity (Data)'!F67, 0, VLOOKUP($C$6, 'Min. Expl. By Commodity (Data)'!$A$9:$B$19, 2, FALSE))
)</f>
        <v>547.4</v>
      </c>
      <c r="F67" s="188">
        <f t="shared" ca="1" si="0"/>
        <v>0.56320789185239317</v>
      </c>
    </row>
    <row r="68" spans="1:6" x14ac:dyDescent="0.3">
      <c r="A68">
        <f t="shared" si="7"/>
        <v>2014</v>
      </c>
      <c r="B68" s="179">
        <v>41699</v>
      </c>
      <c r="C68" s="18">
        <f ca="1">IF(ISBLANK(OFFSET('Min. Expl. By Commodity (Data)'!D68, 0, VLOOKUP($C$6, 'Min. Expl. By Commodity (Data)'!$A$9:$B$19, 2, FALSE))),
        "",
        OFFSET('Min. Expl. By Commodity (Data)'!D68, 0, VLOOKUP($C$6, 'Min. Expl. By Commodity (Data)'!$A$9:$B$19, 2, FALSE))
)</f>
        <v>206.2</v>
      </c>
      <c r="D68" s="19">
        <f ca="1">IF(ISBLANK(OFFSET('Min. Expl. By Commodity (Data)'!E68, 0, VLOOKUP($C$6, 'Min. Expl. By Commodity (Data)'!$A$9:$B$19, 2, FALSE))),
        "",
        OFFSET('Min. Expl. By Commodity (Data)'!E68, 0, VLOOKUP($C$6, 'Min. Expl. By Commodity (Data)'!$A$9:$B$19, 2, FALSE))
)</f>
        <v>201.40000000000003</v>
      </c>
      <c r="E68" s="18">
        <f ca="1">IF(ISBLANK(OFFSET('Min. Expl. By Commodity (Data)'!F68, 0, VLOOKUP($C$6, 'Min. Expl. By Commodity (Data)'!$A$9:$B$19, 2, FALSE))),
        "",
        OFFSET('Min. Expl. By Commodity (Data)'!F68, 0, VLOOKUP($C$6, 'Min. Expl. By Commodity (Data)'!$A$9:$B$19, 2, FALSE))
)</f>
        <v>407.6</v>
      </c>
      <c r="F68" s="180">
        <f t="shared" ca="1" si="0"/>
        <v>0.5058881256133464</v>
      </c>
    </row>
    <row r="69" spans="1:6" x14ac:dyDescent="0.3">
      <c r="A69">
        <f t="shared" si="7"/>
        <v>2014</v>
      </c>
      <c r="B69" s="179">
        <v>41791</v>
      </c>
      <c r="C69" s="186">
        <f ca="1">IF(ISBLANK(OFFSET('Min. Expl. By Commodity (Data)'!D69, 0, VLOOKUP($C$6, 'Min. Expl. By Commodity (Data)'!$A$9:$B$19, 2, FALSE))),
        "",
        OFFSET('Min. Expl. By Commodity (Data)'!D69, 0, VLOOKUP($C$6, 'Min. Expl. By Commodity (Data)'!$A$9:$B$19, 2, FALSE))
)</f>
        <v>309.7</v>
      </c>
      <c r="D69" s="187">
        <f ca="1">IF(ISBLANK(OFFSET('Min. Expl. By Commodity (Data)'!E69, 0, VLOOKUP($C$6, 'Min. Expl. By Commodity (Data)'!$A$9:$B$19, 2, FALSE))),
        "",
        OFFSET('Min. Expl. By Commodity (Data)'!E69, 0, VLOOKUP($C$6, 'Min. Expl. By Commodity (Data)'!$A$9:$B$19, 2, FALSE))
)</f>
        <v>205.3</v>
      </c>
      <c r="E69" s="186">
        <f ca="1">IF(ISBLANK(OFFSET('Min. Expl. By Commodity (Data)'!F69, 0, VLOOKUP($C$6, 'Min. Expl. By Commodity (Data)'!$A$9:$B$19, 2, FALSE))),
        "",
        OFFSET('Min. Expl. By Commodity (Data)'!F69, 0, VLOOKUP($C$6, 'Min. Expl. By Commodity (Data)'!$A$9:$B$19, 2, FALSE))
)</f>
        <v>515</v>
      </c>
      <c r="F69" s="188">
        <f t="shared" ca="1" si="0"/>
        <v>0.6013592233009708</v>
      </c>
    </row>
    <row r="70" spans="1:6" x14ac:dyDescent="0.3">
      <c r="A70">
        <f t="shared" si="7"/>
        <v>2014</v>
      </c>
      <c r="B70" s="179">
        <v>41883</v>
      </c>
      <c r="C70" s="18">
        <f ca="1">IF(ISBLANK(OFFSET('Min. Expl. By Commodity (Data)'!D70, 0, VLOOKUP($C$6, 'Min. Expl. By Commodity (Data)'!$A$9:$B$19, 2, FALSE))),
        "",
        OFFSET('Min. Expl. By Commodity (Data)'!D70, 0, VLOOKUP($C$6, 'Min. Expl. By Commodity (Data)'!$A$9:$B$19, 2, FALSE))
)</f>
        <v>267.10000000000002</v>
      </c>
      <c r="D70" s="19">
        <f ca="1">IF(ISBLANK(OFFSET('Min. Expl. By Commodity (Data)'!E70, 0, VLOOKUP($C$6, 'Min. Expl. By Commodity (Data)'!$A$9:$B$19, 2, FALSE))),
        "",
        OFFSET('Min. Expl. By Commodity (Data)'!E70, 0, VLOOKUP($C$6, 'Min. Expl. By Commodity (Data)'!$A$9:$B$19, 2, FALSE))
)</f>
        <v>190.59999999999997</v>
      </c>
      <c r="E70" s="18">
        <f ca="1">IF(ISBLANK(OFFSET('Min. Expl. By Commodity (Data)'!F70, 0, VLOOKUP($C$6, 'Min. Expl. By Commodity (Data)'!$A$9:$B$19, 2, FALSE))),
        "",
        OFFSET('Min. Expl. By Commodity (Data)'!F70, 0, VLOOKUP($C$6, 'Min. Expl. By Commodity (Data)'!$A$9:$B$19, 2, FALSE))
)</f>
        <v>457.7</v>
      </c>
      <c r="F70" s="180">
        <f t="shared" ca="1" si="0"/>
        <v>0.58357002403320957</v>
      </c>
    </row>
    <row r="71" spans="1:6" x14ac:dyDescent="0.3">
      <c r="A71">
        <f t="shared" si="7"/>
        <v>2014</v>
      </c>
      <c r="B71" s="179">
        <v>41974</v>
      </c>
      <c r="C71" s="186">
        <f ca="1">IF(ISBLANK(OFFSET('Min. Expl. By Commodity (Data)'!D71, 0, VLOOKUP($C$6, 'Min. Expl. By Commodity (Data)'!$A$9:$B$19, 2, FALSE))),
        "",
        OFFSET('Min. Expl. By Commodity (Data)'!D71, 0, VLOOKUP($C$6, 'Min. Expl. By Commodity (Data)'!$A$9:$B$19, 2, FALSE))
)</f>
        <v>262.3</v>
      </c>
      <c r="D71" s="187">
        <f ca="1">IF(ISBLANK(OFFSET('Min. Expl. By Commodity (Data)'!E71, 0, VLOOKUP($C$6, 'Min. Expl. By Commodity (Data)'!$A$9:$B$19, 2, FALSE))),
        "",
        OFFSET('Min. Expl. By Commodity (Data)'!E71, 0, VLOOKUP($C$6, 'Min. Expl. By Commodity (Data)'!$A$9:$B$19, 2, FALSE))
)</f>
        <v>196.89999999999998</v>
      </c>
      <c r="E71" s="186">
        <f ca="1">IF(ISBLANK(OFFSET('Min. Expl. By Commodity (Data)'!F71, 0, VLOOKUP($C$6, 'Min. Expl. By Commodity (Data)'!$A$9:$B$19, 2, FALSE))),
        "",
        OFFSET('Min. Expl. By Commodity (Data)'!F71, 0, VLOOKUP($C$6, 'Min. Expl. By Commodity (Data)'!$A$9:$B$19, 2, FALSE))
)</f>
        <v>459.2</v>
      </c>
      <c r="F71" s="188">
        <f t="shared" ca="1" si="0"/>
        <v>0.57121080139372826</v>
      </c>
    </row>
    <row r="72" spans="1:6" x14ac:dyDescent="0.3">
      <c r="A72">
        <f t="shared" si="7"/>
        <v>2015</v>
      </c>
      <c r="B72" s="179">
        <v>42064</v>
      </c>
      <c r="C72" s="18">
        <f ca="1">IF(ISBLANK(OFFSET('Min. Expl. By Commodity (Data)'!D72, 0, VLOOKUP($C$6, 'Min. Expl. By Commodity (Data)'!$A$9:$B$19, 2, FALSE))),
        "",
        OFFSET('Min. Expl. By Commodity (Data)'!D72, 0, VLOOKUP($C$6, 'Min. Expl. By Commodity (Data)'!$A$9:$B$19, 2, FALSE))
)</f>
        <v>183.2</v>
      </c>
      <c r="D72" s="19">
        <f ca="1">IF(ISBLANK(OFFSET('Min. Expl. By Commodity (Data)'!E72, 0, VLOOKUP($C$6, 'Min. Expl. By Commodity (Data)'!$A$9:$B$19, 2, FALSE))),
        "",
        OFFSET('Min. Expl. By Commodity (Data)'!E72, 0, VLOOKUP($C$6, 'Min. Expl. By Commodity (Data)'!$A$9:$B$19, 2, FALSE))
)</f>
        <v>134.5</v>
      </c>
      <c r="E72" s="18">
        <f ca="1">IF(ISBLANK(OFFSET('Min. Expl. By Commodity (Data)'!F72, 0, VLOOKUP($C$6, 'Min. Expl. By Commodity (Data)'!$A$9:$B$19, 2, FALSE))),
        "",
        OFFSET('Min. Expl. By Commodity (Data)'!F72, 0, VLOOKUP($C$6, 'Min. Expl. By Commodity (Data)'!$A$9:$B$19, 2, FALSE))
)</f>
        <v>317.7</v>
      </c>
      <c r="F72" s="180">
        <f t="shared" ca="1" si="0"/>
        <v>0.57664463330185711</v>
      </c>
    </row>
    <row r="73" spans="1:6" x14ac:dyDescent="0.3">
      <c r="A73">
        <f t="shared" si="7"/>
        <v>2015</v>
      </c>
      <c r="B73" s="179">
        <v>42156</v>
      </c>
      <c r="C73" s="186">
        <f ca="1">IF(ISBLANK(OFFSET('Min. Expl. By Commodity (Data)'!D73, 0, VLOOKUP($C$6, 'Min. Expl. By Commodity (Data)'!$A$9:$B$19, 2, FALSE))),
        "",
        OFFSET('Min. Expl. By Commodity (Data)'!D73, 0, VLOOKUP($C$6, 'Min. Expl. By Commodity (Data)'!$A$9:$B$19, 2, FALSE))
)</f>
        <v>204.8</v>
      </c>
      <c r="D73" s="187">
        <f ca="1">IF(ISBLANK(OFFSET('Min. Expl. By Commodity (Data)'!E73, 0, VLOOKUP($C$6, 'Min. Expl. By Commodity (Data)'!$A$9:$B$19, 2, FALSE))),
        "",
        OFFSET('Min. Expl. By Commodity (Data)'!E73, 0, VLOOKUP($C$6, 'Min. Expl. By Commodity (Data)'!$A$9:$B$19, 2, FALSE))
)</f>
        <v>139.30000000000001</v>
      </c>
      <c r="E73" s="186">
        <f ca="1">IF(ISBLANK(OFFSET('Min. Expl. By Commodity (Data)'!F73, 0, VLOOKUP($C$6, 'Min. Expl. By Commodity (Data)'!$A$9:$B$19, 2, FALSE))),
        "",
        OFFSET('Min. Expl. By Commodity (Data)'!F73, 0, VLOOKUP($C$6, 'Min. Expl. By Commodity (Data)'!$A$9:$B$19, 2, FALSE))
)</f>
        <v>344.1</v>
      </c>
      <c r="F73" s="188">
        <f t="shared" ca="1" si="0"/>
        <v>0.59517582098227262</v>
      </c>
    </row>
    <row r="74" spans="1:6" x14ac:dyDescent="0.3">
      <c r="A74">
        <f t="shared" si="7"/>
        <v>2015</v>
      </c>
      <c r="B74" s="179">
        <v>42248</v>
      </c>
      <c r="C74" s="18">
        <f ca="1">IF(ISBLANK(OFFSET('Min. Expl. By Commodity (Data)'!D74, 0, VLOOKUP($C$6, 'Min. Expl. By Commodity (Data)'!$A$9:$B$19, 2, FALSE))),
        "",
        OFFSET('Min. Expl. By Commodity (Data)'!D74, 0, VLOOKUP($C$6, 'Min. Expl. By Commodity (Data)'!$A$9:$B$19, 2, FALSE))
)</f>
        <v>233.1</v>
      </c>
      <c r="D74" s="19">
        <f ca="1">IF(ISBLANK(OFFSET('Min. Expl. By Commodity (Data)'!E74, 0, VLOOKUP($C$6, 'Min. Expl. By Commodity (Data)'!$A$9:$B$19, 2, FALSE))),
        "",
        OFFSET('Min. Expl. By Commodity (Data)'!E74, 0, VLOOKUP($C$6, 'Min. Expl. By Commodity (Data)'!$A$9:$B$19, 2, FALSE))
)</f>
        <v>160.9</v>
      </c>
      <c r="E74" s="18">
        <f ca="1">IF(ISBLANK(OFFSET('Min. Expl. By Commodity (Data)'!F74, 0, VLOOKUP($C$6, 'Min. Expl. By Commodity (Data)'!$A$9:$B$19, 2, FALSE))),
        "",
        OFFSET('Min. Expl. By Commodity (Data)'!F74, 0, VLOOKUP($C$6, 'Min. Expl. By Commodity (Data)'!$A$9:$B$19, 2, FALSE))
)</f>
        <v>394</v>
      </c>
      <c r="F74" s="180">
        <f t="shared" ref="F74:F107" ca="1" si="12">IF(OR(C74="", E74=""), "n/a", C74/E74)</f>
        <v>0.59162436548223352</v>
      </c>
    </row>
    <row r="75" spans="1:6" x14ac:dyDescent="0.3">
      <c r="A75">
        <f t="shared" ref="A75:A138" si="13">YEAR(B75)</f>
        <v>2015</v>
      </c>
      <c r="B75" s="179">
        <v>42339</v>
      </c>
      <c r="C75" s="186">
        <f ca="1">IF(ISBLANK(OFFSET('Min. Expl. By Commodity (Data)'!D75, 0, VLOOKUP($C$6, 'Min. Expl. By Commodity (Data)'!$A$9:$B$19, 2, FALSE))),
        "",
        OFFSET('Min. Expl. By Commodity (Data)'!D75, 0, VLOOKUP($C$6, 'Min. Expl. By Commodity (Data)'!$A$9:$B$19, 2, FALSE))
)</f>
        <v>222.6</v>
      </c>
      <c r="D75" s="187">
        <f ca="1">IF(ISBLANK(OFFSET('Min. Expl. By Commodity (Data)'!E75, 0, VLOOKUP($C$6, 'Min. Expl. By Commodity (Data)'!$A$9:$B$19, 2, FALSE))),
        "",
        OFFSET('Min. Expl. By Commodity (Data)'!E75, 0, VLOOKUP($C$6, 'Min. Expl. By Commodity (Data)'!$A$9:$B$19, 2, FALSE))
)</f>
        <v>160.20000000000002</v>
      </c>
      <c r="E75" s="186">
        <f ca="1">IF(ISBLANK(OFFSET('Min. Expl. By Commodity (Data)'!F75, 0, VLOOKUP($C$6, 'Min. Expl. By Commodity (Data)'!$A$9:$B$19, 2, FALSE))),
        "",
        OFFSET('Min. Expl. By Commodity (Data)'!F75, 0, VLOOKUP($C$6, 'Min. Expl. By Commodity (Data)'!$A$9:$B$19, 2, FALSE))
)</f>
        <v>382.8</v>
      </c>
      <c r="F75" s="188">
        <f t="shared" ca="1" si="12"/>
        <v>0.58150470219435735</v>
      </c>
    </row>
    <row r="76" spans="1:6" x14ac:dyDescent="0.3">
      <c r="A76">
        <f t="shared" si="13"/>
        <v>2016</v>
      </c>
      <c r="B76" s="179">
        <v>42430</v>
      </c>
      <c r="C76" s="18">
        <f ca="1">IF(ISBLANK(OFFSET('Min. Expl. By Commodity (Data)'!D76, 0, VLOOKUP($C$6, 'Min. Expl. By Commodity (Data)'!$A$9:$B$19, 2, FALSE))),
        "",
        OFFSET('Min. Expl. By Commodity (Data)'!D76, 0, VLOOKUP($C$6, 'Min. Expl. By Commodity (Data)'!$A$9:$B$19, 2, FALSE))
)</f>
        <v>187.1</v>
      </c>
      <c r="D76" s="19">
        <f ca="1">IF(ISBLANK(OFFSET('Min. Expl. By Commodity (Data)'!E76, 0, VLOOKUP($C$6, 'Min. Expl. By Commodity (Data)'!$A$9:$B$19, 2, FALSE))),
        "",
        OFFSET('Min. Expl. By Commodity (Data)'!E76, 0, VLOOKUP($C$6, 'Min. Expl. By Commodity (Data)'!$A$9:$B$19, 2, FALSE))
)</f>
        <v>103.29999999999998</v>
      </c>
      <c r="E76" s="18">
        <f ca="1">IF(ISBLANK(OFFSET('Min. Expl. By Commodity (Data)'!F76, 0, VLOOKUP($C$6, 'Min. Expl. By Commodity (Data)'!$A$9:$B$19, 2, FALSE))),
        "",
        OFFSET('Min. Expl. By Commodity (Data)'!F76, 0, VLOOKUP($C$6, 'Min. Expl. By Commodity (Data)'!$A$9:$B$19, 2, FALSE))
)</f>
        <v>290.39999999999998</v>
      </c>
      <c r="F76" s="180">
        <f t="shared" ca="1" si="12"/>
        <v>0.64428374655647391</v>
      </c>
    </row>
    <row r="77" spans="1:6" x14ac:dyDescent="0.3">
      <c r="A77">
        <f t="shared" si="13"/>
        <v>2016</v>
      </c>
      <c r="B77" s="179">
        <v>42522</v>
      </c>
      <c r="C77" s="186">
        <f ca="1">IF(ISBLANK(OFFSET('Min. Expl. By Commodity (Data)'!D77, 0, VLOOKUP($C$6, 'Min. Expl. By Commodity (Data)'!$A$9:$B$19, 2, FALSE))),
        "",
        OFFSET('Min. Expl. By Commodity (Data)'!D77, 0, VLOOKUP($C$6, 'Min. Expl. By Commodity (Data)'!$A$9:$B$19, 2, FALSE))
)</f>
        <v>228.2</v>
      </c>
      <c r="D77" s="187">
        <f ca="1">IF(ISBLANK(OFFSET('Min. Expl. By Commodity (Data)'!E77, 0, VLOOKUP($C$6, 'Min. Expl. By Commodity (Data)'!$A$9:$B$19, 2, FALSE))),
        "",
        OFFSET('Min. Expl. By Commodity (Data)'!E77, 0, VLOOKUP($C$6, 'Min. Expl. By Commodity (Data)'!$A$9:$B$19, 2, FALSE))
)</f>
        <v>125.69999999999999</v>
      </c>
      <c r="E77" s="186">
        <f ca="1">IF(ISBLANK(OFFSET('Min. Expl. By Commodity (Data)'!F77, 0, VLOOKUP($C$6, 'Min. Expl. By Commodity (Data)'!$A$9:$B$19, 2, FALSE))),
        "",
        OFFSET('Min. Expl. By Commodity (Data)'!F77, 0, VLOOKUP($C$6, 'Min. Expl. By Commodity (Data)'!$A$9:$B$19, 2, FALSE))
)</f>
        <v>353.9</v>
      </c>
      <c r="F77" s="188">
        <f t="shared" ca="1" si="12"/>
        <v>0.64481491946877645</v>
      </c>
    </row>
    <row r="78" spans="1:6" x14ac:dyDescent="0.3">
      <c r="A78">
        <f t="shared" si="13"/>
        <v>2016</v>
      </c>
      <c r="B78" s="179">
        <v>42614</v>
      </c>
      <c r="C78" s="18">
        <f ca="1">IF(ISBLANK(OFFSET('Min. Expl. By Commodity (Data)'!D78, 0, VLOOKUP($C$6, 'Min. Expl. By Commodity (Data)'!$A$9:$B$19, 2, FALSE))),
        "",
        OFFSET('Min. Expl. By Commodity (Data)'!D78, 0, VLOOKUP($C$6, 'Min. Expl. By Commodity (Data)'!$A$9:$B$19, 2, FALSE))
)</f>
        <v>248.8</v>
      </c>
      <c r="D78" s="19">
        <f ca="1">IF(ISBLANK(OFFSET('Min. Expl. By Commodity (Data)'!E78, 0, VLOOKUP($C$6, 'Min. Expl. By Commodity (Data)'!$A$9:$B$19, 2, FALSE))),
        "",
        OFFSET('Min. Expl. By Commodity (Data)'!E78, 0, VLOOKUP($C$6, 'Min. Expl. By Commodity (Data)'!$A$9:$B$19, 2, FALSE))
)</f>
        <v>130.69999999999999</v>
      </c>
      <c r="E78" s="18">
        <f ca="1">IF(ISBLANK(OFFSET('Min. Expl. By Commodity (Data)'!F78, 0, VLOOKUP($C$6, 'Min. Expl. By Commodity (Data)'!$A$9:$B$19, 2, FALSE))),
        "",
        OFFSET('Min. Expl. By Commodity (Data)'!F78, 0, VLOOKUP($C$6, 'Min. Expl. By Commodity (Data)'!$A$9:$B$19, 2, FALSE))
)</f>
        <v>379.5</v>
      </c>
      <c r="F78" s="180">
        <f t="shared" ca="1" si="12"/>
        <v>0.65559947299077737</v>
      </c>
    </row>
    <row r="79" spans="1:6" x14ac:dyDescent="0.3">
      <c r="A79">
        <f t="shared" si="13"/>
        <v>2016</v>
      </c>
      <c r="B79" s="179">
        <v>42705</v>
      </c>
      <c r="C79" s="186">
        <f ca="1">IF(ISBLANK(OFFSET('Min. Expl. By Commodity (Data)'!D79, 0, VLOOKUP($C$6, 'Min. Expl. By Commodity (Data)'!$A$9:$B$19, 2, FALSE))),
        "",
        OFFSET('Min. Expl. By Commodity (Data)'!D79, 0, VLOOKUP($C$6, 'Min. Expl. By Commodity (Data)'!$A$9:$B$19, 2, FALSE))
)</f>
        <v>263.5</v>
      </c>
      <c r="D79" s="187">
        <f ca="1">IF(ISBLANK(OFFSET('Min. Expl. By Commodity (Data)'!E79, 0, VLOOKUP($C$6, 'Min. Expl. By Commodity (Data)'!$A$9:$B$19, 2, FALSE))),
        "",
        OFFSET('Min. Expl. By Commodity (Data)'!E79, 0, VLOOKUP($C$6, 'Min. Expl. By Commodity (Data)'!$A$9:$B$19, 2, FALSE))
)</f>
        <v>139.60000000000002</v>
      </c>
      <c r="E79" s="186">
        <f ca="1">IF(ISBLANK(OFFSET('Min. Expl. By Commodity (Data)'!F79, 0, VLOOKUP($C$6, 'Min. Expl. By Commodity (Data)'!$A$9:$B$19, 2, FALSE))),
        "",
        OFFSET('Min. Expl. By Commodity (Data)'!F79, 0, VLOOKUP($C$6, 'Min. Expl. By Commodity (Data)'!$A$9:$B$19, 2, FALSE))
)</f>
        <v>403.1</v>
      </c>
      <c r="F79" s="188">
        <f t="shared" ca="1" si="12"/>
        <v>0.65368394939221031</v>
      </c>
    </row>
    <row r="80" spans="1:6" x14ac:dyDescent="0.3">
      <c r="A80">
        <f t="shared" si="13"/>
        <v>2017</v>
      </c>
      <c r="B80" s="179">
        <v>42795</v>
      </c>
      <c r="C80" s="18">
        <f ca="1">IF(ISBLANK(OFFSET('Min. Expl. By Commodity (Data)'!D80, 0, VLOOKUP($C$6, 'Min. Expl. By Commodity (Data)'!$A$9:$B$19, 2, FALSE))),
        "",
        OFFSET('Min. Expl. By Commodity (Data)'!D80, 0, VLOOKUP($C$6, 'Min. Expl. By Commodity (Data)'!$A$9:$B$19, 2, FALSE))
)</f>
        <v>225</v>
      </c>
      <c r="D80" s="19">
        <f ca="1">IF(ISBLANK(OFFSET('Min. Expl. By Commodity (Data)'!E80, 0, VLOOKUP($C$6, 'Min. Expl. By Commodity (Data)'!$A$9:$B$19, 2, FALSE))),
        "",
        OFFSET('Min. Expl. By Commodity (Data)'!E80, 0, VLOOKUP($C$6, 'Min. Expl. By Commodity (Data)'!$A$9:$B$19, 2, FALSE))
)</f>
        <v>112.60000000000002</v>
      </c>
      <c r="E80" s="18">
        <f ca="1">IF(ISBLANK(OFFSET('Min. Expl. By Commodity (Data)'!F80, 0, VLOOKUP($C$6, 'Min. Expl. By Commodity (Data)'!$A$9:$B$19, 2, FALSE))),
        "",
        OFFSET('Min. Expl. By Commodity (Data)'!F80, 0, VLOOKUP($C$6, 'Min. Expl. By Commodity (Data)'!$A$9:$B$19, 2, FALSE))
)</f>
        <v>337.6</v>
      </c>
      <c r="F80" s="180">
        <f t="shared" ca="1" si="12"/>
        <v>0.66646919431279616</v>
      </c>
    </row>
    <row r="81" spans="1:6" x14ac:dyDescent="0.3">
      <c r="A81">
        <f t="shared" si="13"/>
        <v>2017</v>
      </c>
      <c r="B81" s="179">
        <v>42887</v>
      </c>
      <c r="C81" s="186">
        <f ca="1">IF(ISBLANK(OFFSET('Min. Expl. By Commodity (Data)'!D81, 0, VLOOKUP($C$6, 'Min. Expl. By Commodity (Data)'!$A$9:$B$19, 2, FALSE))),
        "",
        OFFSET('Min. Expl. By Commodity (Data)'!D81, 0, VLOOKUP($C$6, 'Min. Expl. By Commodity (Data)'!$A$9:$B$19, 2, FALSE))
)</f>
        <v>291</v>
      </c>
      <c r="D81" s="187">
        <f ca="1">IF(ISBLANK(OFFSET('Min. Expl. By Commodity (Data)'!E81, 0, VLOOKUP($C$6, 'Min. Expl. By Commodity (Data)'!$A$9:$B$19, 2, FALSE))),
        "",
        OFFSET('Min. Expl. By Commodity (Data)'!E81, 0, VLOOKUP($C$6, 'Min. Expl. By Commodity (Data)'!$A$9:$B$19, 2, FALSE))
)</f>
        <v>153.89999999999998</v>
      </c>
      <c r="E81" s="186">
        <f ca="1">IF(ISBLANK(OFFSET('Min. Expl. By Commodity (Data)'!F81, 0, VLOOKUP($C$6, 'Min. Expl. By Commodity (Data)'!$A$9:$B$19, 2, FALSE))),
        "",
        OFFSET('Min. Expl. By Commodity (Data)'!F81, 0, VLOOKUP($C$6, 'Min. Expl. By Commodity (Data)'!$A$9:$B$19, 2, FALSE))
)</f>
        <v>444.9</v>
      </c>
      <c r="F81" s="188">
        <f t="shared" ca="1" si="12"/>
        <v>0.6540795684423466</v>
      </c>
    </row>
    <row r="82" spans="1:6" x14ac:dyDescent="0.3">
      <c r="A82">
        <f t="shared" si="13"/>
        <v>2017</v>
      </c>
      <c r="B82" s="179">
        <v>42979</v>
      </c>
      <c r="C82" s="18">
        <f ca="1">IF(ISBLANK(OFFSET('Min. Expl. By Commodity (Data)'!D82, 0, VLOOKUP($C$6, 'Min. Expl. By Commodity (Data)'!$A$9:$B$19, 2, FALSE))),
        "",
        OFFSET('Min. Expl. By Commodity (Data)'!D82, 0, VLOOKUP($C$6, 'Min. Expl. By Commodity (Data)'!$A$9:$B$19, 2, FALSE))
)</f>
        <v>294.2</v>
      </c>
      <c r="D82" s="19">
        <f ca="1">IF(ISBLANK(OFFSET('Min. Expl. By Commodity (Data)'!E82, 0, VLOOKUP($C$6, 'Min. Expl. By Commodity (Data)'!$A$9:$B$19, 2, FALSE))),
        "",
        OFFSET('Min. Expl. By Commodity (Data)'!E82, 0, VLOOKUP($C$6, 'Min. Expl. By Commodity (Data)'!$A$9:$B$19, 2, FALSE))
)</f>
        <v>181</v>
      </c>
      <c r="E82" s="18">
        <f ca="1">IF(ISBLANK(OFFSET('Min. Expl. By Commodity (Data)'!F82, 0, VLOOKUP($C$6, 'Min. Expl. By Commodity (Data)'!$A$9:$B$19, 2, FALSE))),
        "",
        OFFSET('Min. Expl. By Commodity (Data)'!F82, 0, VLOOKUP($C$6, 'Min. Expl. By Commodity (Data)'!$A$9:$B$19, 2, FALSE))
)</f>
        <v>475.2</v>
      </c>
      <c r="F82" s="180">
        <f t="shared" ca="1" si="12"/>
        <v>0.61910774410774405</v>
      </c>
    </row>
    <row r="83" spans="1:6" x14ac:dyDescent="0.3">
      <c r="A83">
        <f t="shared" si="13"/>
        <v>2017</v>
      </c>
      <c r="B83" s="179">
        <v>43070</v>
      </c>
      <c r="C83" s="186">
        <f ca="1">IF(ISBLANK(OFFSET('Min. Expl. By Commodity (Data)'!D83, 0, VLOOKUP($C$6, 'Min. Expl. By Commodity (Data)'!$A$9:$B$19, 2, FALSE))),
        "",
        OFFSET('Min. Expl. By Commodity (Data)'!D83, 0, VLOOKUP($C$6, 'Min. Expl. By Commodity (Data)'!$A$9:$B$19, 2, FALSE))
)</f>
        <v>298.5</v>
      </c>
      <c r="D83" s="187">
        <f ca="1">IF(ISBLANK(OFFSET('Min. Expl. By Commodity (Data)'!E83, 0, VLOOKUP($C$6, 'Min. Expl. By Commodity (Data)'!$A$9:$B$19, 2, FALSE))),
        "",
        OFFSET('Min. Expl. By Commodity (Data)'!E83, 0, VLOOKUP($C$6, 'Min. Expl. By Commodity (Data)'!$A$9:$B$19, 2, FALSE))
)</f>
        <v>197.60000000000002</v>
      </c>
      <c r="E83" s="186">
        <f ca="1">IF(ISBLANK(OFFSET('Min. Expl. By Commodity (Data)'!F83, 0, VLOOKUP($C$6, 'Min. Expl. By Commodity (Data)'!$A$9:$B$19, 2, FALSE))),
        "",
        OFFSET('Min. Expl. By Commodity (Data)'!F83, 0, VLOOKUP($C$6, 'Min. Expl. By Commodity (Data)'!$A$9:$B$19, 2, FALSE))
)</f>
        <v>496.1</v>
      </c>
      <c r="F83" s="188">
        <f t="shared" ca="1" si="12"/>
        <v>0.60169320701471474</v>
      </c>
    </row>
    <row r="84" spans="1:6" x14ac:dyDescent="0.3">
      <c r="A84">
        <f t="shared" si="13"/>
        <v>2018</v>
      </c>
      <c r="B84" s="179">
        <v>43160</v>
      </c>
      <c r="C84" s="18">
        <f ca="1">IF(ISBLANK(OFFSET('Min. Expl. By Commodity (Data)'!D84, 0, VLOOKUP($C$6, 'Min. Expl. By Commodity (Data)'!$A$9:$B$19, 2, FALSE))),
        "",
        OFFSET('Min. Expl. By Commodity (Data)'!D84, 0, VLOOKUP($C$6, 'Min. Expl. By Commodity (Data)'!$A$9:$B$19, 2, FALSE))
)</f>
        <v>261</v>
      </c>
      <c r="D84" s="19">
        <f ca="1">IF(ISBLANK(OFFSET('Min. Expl. By Commodity (Data)'!E84, 0, VLOOKUP($C$6, 'Min. Expl. By Commodity (Data)'!$A$9:$B$19, 2, FALSE))),
        "",
        OFFSET('Min. Expl. By Commodity (Data)'!E84, 0, VLOOKUP($C$6, 'Min. Expl. By Commodity (Data)'!$A$9:$B$19, 2, FALSE))
)</f>
        <v>177.7</v>
      </c>
      <c r="E84" s="18">
        <f ca="1">IF(ISBLANK(OFFSET('Min. Expl. By Commodity (Data)'!F84, 0, VLOOKUP($C$6, 'Min. Expl. By Commodity (Data)'!$A$9:$B$19, 2, FALSE))),
        "",
        OFFSET('Min. Expl. By Commodity (Data)'!F84, 0, VLOOKUP($C$6, 'Min. Expl. By Commodity (Data)'!$A$9:$B$19, 2, FALSE))
)</f>
        <v>438.7</v>
      </c>
      <c r="F84" s="180">
        <f t="shared" ca="1" si="12"/>
        <v>0.59493959425575571</v>
      </c>
    </row>
    <row r="85" spans="1:6" x14ac:dyDescent="0.3">
      <c r="A85">
        <f t="shared" si="13"/>
        <v>2018</v>
      </c>
      <c r="B85" s="179">
        <v>43252</v>
      </c>
      <c r="C85" s="186">
        <f ca="1">IF(ISBLANK(OFFSET('Min. Expl. By Commodity (Data)'!D85, 0, VLOOKUP($C$6, 'Min. Expl. By Commodity (Data)'!$A$9:$B$19, 2, FALSE))),
        "",
        OFFSET('Min. Expl. By Commodity (Data)'!D85, 0, VLOOKUP($C$6, 'Min. Expl. By Commodity (Data)'!$A$9:$B$19, 2, FALSE))
)</f>
        <v>349.8</v>
      </c>
      <c r="D85" s="187">
        <f ca="1">IF(ISBLANK(OFFSET('Min. Expl. By Commodity (Data)'!E85, 0, VLOOKUP($C$6, 'Min. Expl. By Commodity (Data)'!$A$9:$B$19, 2, FALSE))),
        "",
        OFFSET('Min. Expl. By Commodity (Data)'!E85, 0, VLOOKUP($C$6, 'Min. Expl. By Commodity (Data)'!$A$9:$B$19, 2, FALSE))
)</f>
        <v>217.99999999999994</v>
      </c>
      <c r="E85" s="186">
        <f ca="1">IF(ISBLANK(OFFSET('Min. Expl. By Commodity (Data)'!F85, 0, VLOOKUP($C$6, 'Min. Expl. By Commodity (Data)'!$A$9:$B$19, 2, FALSE))),
        "",
        OFFSET('Min. Expl. By Commodity (Data)'!F85, 0, VLOOKUP($C$6, 'Min. Expl. By Commodity (Data)'!$A$9:$B$19, 2, FALSE))
)</f>
        <v>567.79999999999995</v>
      </c>
      <c r="F85" s="188">
        <f t="shared" ca="1" si="12"/>
        <v>0.61606199365973946</v>
      </c>
    </row>
    <row r="86" spans="1:6" x14ac:dyDescent="0.3">
      <c r="A86">
        <f t="shared" si="13"/>
        <v>2018</v>
      </c>
      <c r="B86" s="179">
        <v>43344</v>
      </c>
      <c r="C86" s="18">
        <f ca="1">IF(ISBLANK(OFFSET('Min. Expl. By Commodity (Data)'!D86, 0, VLOOKUP($C$6, 'Min. Expl. By Commodity (Data)'!$A$9:$B$19, 2, FALSE))),
        "",
        OFFSET('Min. Expl. By Commodity (Data)'!D86, 0, VLOOKUP($C$6, 'Min. Expl. By Commodity (Data)'!$A$9:$B$19, 2, FALSE))
)</f>
        <v>361</v>
      </c>
      <c r="D86" s="19">
        <f ca="1">IF(ISBLANK(OFFSET('Min. Expl. By Commodity (Data)'!E86, 0, VLOOKUP($C$6, 'Min. Expl. By Commodity (Data)'!$A$9:$B$19, 2, FALSE))),
        "",
        OFFSET('Min. Expl. By Commodity (Data)'!E86, 0, VLOOKUP($C$6, 'Min. Expl. By Commodity (Data)'!$A$9:$B$19, 2, FALSE))
)</f>
        <v>223.39999999999998</v>
      </c>
      <c r="E86" s="18">
        <f ca="1">IF(ISBLANK(OFFSET('Min. Expl. By Commodity (Data)'!F86, 0, VLOOKUP($C$6, 'Min. Expl. By Commodity (Data)'!$A$9:$B$19, 2, FALSE))),
        "",
        OFFSET('Min. Expl. By Commodity (Data)'!F86, 0, VLOOKUP($C$6, 'Min. Expl. By Commodity (Data)'!$A$9:$B$19, 2, FALSE))
)</f>
        <v>584.4</v>
      </c>
      <c r="F86" s="180">
        <f t="shared" ca="1" si="12"/>
        <v>0.61772758384668036</v>
      </c>
    </row>
    <row r="87" spans="1:6" x14ac:dyDescent="0.3">
      <c r="A87">
        <f t="shared" si="13"/>
        <v>2018</v>
      </c>
      <c r="B87" s="179">
        <v>43435</v>
      </c>
      <c r="C87" s="186">
        <f ca="1">IF(ISBLANK(OFFSET('Min. Expl. By Commodity (Data)'!D87, 0, VLOOKUP($C$6, 'Min. Expl. By Commodity (Data)'!$A$9:$B$19, 2, FALSE))),
        "",
        OFFSET('Min. Expl. By Commodity (Data)'!D87, 0, VLOOKUP($C$6, 'Min. Expl. By Commodity (Data)'!$A$9:$B$19, 2, FALSE))
)</f>
        <v>346.3</v>
      </c>
      <c r="D87" s="187">
        <f ca="1">IF(ISBLANK(OFFSET('Min. Expl. By Commodity (Data)'!E87, 0, VLOOKUP($C$6, 'Min. Expl. By Commodity (Data)'!$A$9:$B$19, 2, FALSE))),
        "",
        OFFSET('Min. Expl. By Commodity (Data)'!E87, 0, VLOOKUP($C$6, 'Min. Expl. By Commodity (Data)'!$A$9:$B$19, 2, FALSE))
)</f>
        <v>246.40000000000003</v>
      </c>
      <c r="E87" s="186">
        <f ca="1">IF(ISBLANK(OFFSET('Min. Expl. By Commodity (Data)'!F87, 0, VLOOKUP($C$6, 'Min. Expl. By Commodity (Data)'!$A$9:$B$19, 2, FALSE))),
        "",
        OFFSET('Min. Expl. By Commodity (Data)'!F87, 0, VLOOKUP($C$6, 'Min. Expl. By Commodity (Data)'!$A$9:$B$19, 2, FALSE))
)</f>
        <v>592.70000000000005</v>
      </c>
      <c r="F87" s="188">
        <f t="shared" ca="1" si="12"/>
        <v>0.58427535009279563</v>
      </c>
    </row>
    <row r="88" spans="1:6" x14ac:dyDescent="0.3">
      <c r="A88">
        <f t="shared" si="13"/>
        <v>2019</v>
      </c>
      <c r="B88" s="179">
        <v>43525</v>
      </c>
      <c r="C88" s="18">
        <f ca="1">IF(ISBLANK(OFFSET('Min. Expl. By Commodity (Data)'!D88, 0, VLOOKUP($C$6, 'Min. Expl. By Commodity (Data)'!$A$9:$B$19, 2, FALSE))),
        "",
        OFFSET('Min. Expl. By Commodity (Data)'!D88, 0, VLOOKUP($C$6, 'Min. Expl. By Commodity (Data)'!$A$9:$B$19, 2, FALSE))
)</f>
        <v>319.5</v>
      </c>
      <c r="D88" s="19">
        <f ca="1">IF(ISBLANK(OFFSET('Min. Expl. By Commodity (Data)'!E88, 0, VLOOKUP($C$6, 'Min. Expl. By Commodity (Data)'!$A$9:$B$19, 2, FALSE))),
        "",
        OFFSET('Min. Expl. By Commodity (Data)'!E88, 0, VLOOKUP($C$6, 'Min. Expl. By Commodity (Data)'!$A$9:$B$19, 2, FALSE))
)</f>
        <v>186.2</v>
      </c>
      <c r="E88" s="18">
        <f ca="1">IF(ISBLANK(OFFSET('Min. Expl. By Commodity (Data)'!F88, 0, VLOOKUP($C$6, 'Min. Expl. By Commodity (Data)'!$A$9:$B$19, 2, FALSE))),
        "",
        OFFSET('Min. Expl. By Commodity (Data)'!F88, 0, VLOOKUP($C$6, 'Min. Expl. By Commodity (Data)'!$A$9:$B$19, 2, FALSE))
)</f>
        <v>505.7</v>
      </c>
      <c r="F88" s="180">
        <f t="shared" ca="1" si="12"/>
        <v>0.63179750840419224</v>
      </c>
    </row>
    <row r="89" spans="1:6" x14ac:dyDescent="0.3">
      <c r="A89">
        <f t="shared" si="13"/>
        <v>2019</v>
      </c>
      <c r="B89" s="179">
        <v>43617</v>
      </c>
      <c r="C89" s="186">
        <f ca="1">IF(ISBLANK(OFFSET('Min. Expl. By Commodity (Data)'!D89, 0, VLOOKUP($C$6, 'Min. Expl. By Commodity (Data)'!$A$9:$B$19, 2, FALSE))),
        "",
        OFFSET('Min. Expl. By Commodity (Data)'!D89, 0, VLOOKUP($C$6, 'Min. Expl. By Commodity (Data)'!$A$9:$B$19, 2, FALSE))
)</f>
        <v>415.1</v>
      </c>
      <c r="D89" s="187">
        <f ca="1">IF(ISBLANK(OFFSET('Min. Expl. By Commodity (Data)'!E89, 0, VLOOKUP($C$6, 'Min. Expl. By Commodity (Data)'!$A$9:$B$19, 2, FALSE))),
        "",
        OFFSET('Min. Expl. By Commodity (Data)'!E89, 0, VLOOKUP($C$6, 'Min. Expl. By Commodity (Data)'!$A$9:$B$19, 2, FALSE))
)</f>
        <v>249.69999999999993</v>
      </c>
      <c r="E89" s="186">
        <f ca="1">IF(ISBLANK(OFFSET('Min. Expl. By Commodity (Data)'!F89, 0, VLOOKUP($C$6, 'Min. Expl. By Commodity (Data)'!$A$9:$B$19, 2, FALSE))),
        "",
        OFFSET('Min. Expl. By Commodity (Data)'!F89, 0, VLOOKUP($C$6, 'Min. Expl. By Commodity (Data)'!$A$9:$B$19, 2, FALSE))
)</f>
        <v>664.8</v>
      </c>
      <c r="F89" s="188">
        <f t="shared" ca="1" si="12"/>
        <v>0.62439831528279188</v>
      </c>
    </row>
    <row r="90" spans="1:6" x14ac:dyDescent="0.3">
      <c r="A90">
        <f t="shared" si="13"/>
        <v>2019</v>
      </c>
      <c r="B90" s="179">
        <v>43709</v>
      </c>
      <c r="C90" s="18">
        <f ca="1">IF(ISBLANK(OFFSET('Min. Expl. By Commodity (Data)'!D90, 0, VLOOKUP($C$6, 'Min. Expl. By Commodity (Data)'!$A$9:$B$19, 2, FALSE))),
        "",
        OFFSET('Min. Expl. By Commodity (Data)'!D90, 0, VLOOKUP($C$6, 'Min. Expl. By Commodity (Data)'!$A$9:$B$19, 2, FALSE))
)</f>
        <v>459.7</v>
      </c>
      <c r="D90" s="19">
        <f ca="1">IF(ISBLANK(OFFSET('Min. Expl. By Commodity (Data)'!E90, 0, VLOOKUP($C$6, 'Min. Expl. By Commodity (Data)'!$A$9:$B$19, 2, FALSE))),
        "",
        OFFSET('Min. Expl. By Commodity (Data)'!E90, 0, VLOOKUP($C$6, 'Min. Expl. By Commodity (Data)'!$A$9:$B$19, 2, FALSE))
)</f>
        <v>265.09999999999997</v>
      </c>
      <c r="E90" s="18">
        <f ca="1">IF(ISBLANK(OFFSET('Min. Expl. By Commodity (Data)'!F90, 0, VLOOKUP($C$6, 'Min. Expl. By Commodity (Data)'!$A$9:$B$19, 2, FALSE))),
        "",
        OFFSET('Min. Expl. By Commodity (Data)'!F90, 0, VLOOKUP($C$6, 'Min. Expl. By Commodity (Data)'!$A$9:$B$19, 2, FALSE))
)</f>
        <v>724.8</v>
      </c>
      <c r="F90" s="180">
        <f t="shared" ca="1" si="12"/>
        <v>0.63424392935982343</v>
      </c>
    </row>
    <row r="91" spans="1:6" x14ac:dyDescent="0.3">
      <c r="A91">
        <f t="shared" si="13"/>
        <v>2019</v>
      </c>
      <c r="B91" s="179">
        <v>43800</v>
      </c>
      <c r="C91" s="186">
        <f ca="1">IF(ISBLANK(OFFSET('Min. Expl. By Commodity (Data)'!D91, 0, VLOOKUP($C$6, 'Min. Expl. By Commodity (Data)'!$A$9:$B$19, 2, FALSE))),
        "",
        OFFSET('Min. Expl. By Commodity (Data)'!D91, 0, VLOOKUP($C$6, 'Min. Expl. By Commodity (Data)'!$A$9:$B$19, 2, FALSE))
)</f>
        <v>453.9</v>
      </c>
      <c r="D91" s="187">
        <f ca="1">IF(ISBLANK(OFFSET('Min. Expl. By Commodity (Data)'!E91, 0, VLOOKUP($C$6, 'Min. Expl. By Commodity (Data)'!$A$9:$B$19, 2, FALSE))),
        "",
        OFFSET('Min. Expl. By Commodity (Data)'!E91, 0, VLOOKUP($C$6, 'Min. Expl. By Commodity (Data)'!$A$9:$B$19, 2, FALSE))
)</f>
        <v>299.20000000000005</v>
      </c>
      <c r="E91" s="186">
        <f ca="1">IF(ISBLANK(OFFSET('Min. Expl. By Commodity (Data)'!F91, 0, VLOOKUP($C$6, 'Min. Expl. By Commodity (Data)'!$A$9:$B$19, 2, FALSE))),
        "",
        OFFSET('Min. Expl. By Commodity (Data)'!F91, 0, VLOOKUP($C$6, 'Min. Expl. By Commodity (Data)'!$A$9:$B$19, 2, FALSE))
)</f>
        <v>753.1</v>
      </c>
      <c r="F91" s="188">
        <f t="shared" ca="1" si="12"/>
        <v>0.60270880361173806</v>
      </c>
    </row>
    <row r="92" spans="1:6" x14ac:dyDescent="0.3">
      <c r="A92">
        <f t="shared" si="13"/>
        <v>2020</v>
      </c>
      <c r="B92" s="179">
        <v>43891</v>
      </c>
      <c r="C92" s="18">
        <f ca="1">IF(ISBLANK(OFFSET('Min. Expl. By Commodity (Data)'!D92, 0, VLOOKUP($C$6, 'Min. Expl. By Commodity (Data)'!$A$9:$B$19, 2, FALSE))),
        "",
        OFFSET('Min. Expl. By Commodity (Data)'!D92, 0, VLOOKUP($C$6, 'Min. Expl. By Commodity (Data)'!$A$9:$B$19, 2, FALSE))
)</f>
        <v>367.1</v>
      </c>
      <c r="D92" s="19">
        <f ca="1">IF(ISBLANK(OFFSET('Min. Expl. By Commodity (Data)'!E92, 0, VLOOKUP($C$6, 'Min. Expl. By Commodity (Data)'!$A$9:$B$19, 2, FALSE))),
        "",
        OFFSET('Min. Expl. By Commodity (Data)'!E92, 0, VLOOKUP($C$6, 'Min. Expl. By Commodity (Data)'!$A$9:$B$19, 2, FALSE))
)</f>
        <v>243.5</v>
      </c>
      <c r="E92" s="18">
        <f ca="1">IF(ISBLANK(OFFSET('Min. Expl. By Commodity (Data)'!F92, 0, VLOOKUP($C$6, 'Min. Expl. By Commodity (Data)'!$A$9:$B$19, 2, FALSE))),
        "",
        OFFSET('Min. Expl. By Commodity (Data)'!F92, 0, VLOOKUP($C$6, 'Min. Expl. By Commodity (Data)'!$A$9:$B$19, 2, FALSE))
)</f>
        <v>610.6</v>
      </c>
      <c r="F92" s="180">
        <f t="shared" ca="1" si="12"/>
        <v>0.6012119226989846</v>
      </c>
    </row>
    <row r="93" spans="1:6" x14ac:dyDescent="0.3">
      <c r="A93">
        <f t="shared" si="13"/>
        <v>2020</v>
      </c>
      <c r="B93" s="179">
        <v>43983</v>
      </c>
      <c r="C93" s="186">
        <f ca="1">IF(ISBLANK(OFFSET('Min. Expl. By Commodity (Data)'!D93, 0, VLOOKUP($C$6, 'Min. Expl. By Commodity (Data)'!$A$9:$B$19, 2, FALSE))),
        "",
        OFFSET('Min. Expl. By Commodity (Data)'!D93, 0, VLOOKUP($C$6, 'Min. Expl. By Commodity (Data)'!$A$9:$B$19, 2, FALSE))
)</f>
        <v>412.4</v>
      </c>
      <c r="D93" s="187">
        <f ca="1">IF(ISBLANK(OFFSET('Min. Expl. By Commodity (Data)'!E93, 0, VLOOKUP($C$6, 'Min. Expl. By Commodity (Data)'!$A$9:$B$19, 2, FALSE))),
        "",
        OFFSET('Min. Expl. By Commodity (Data)'!E93, 0, VLOOKUP($C$6, 'Min. Expl. By Commodity (Data)'!$A$9:$B$19, 2, FALSE))
)</f>
        <v>270.89999999999998</v>
      </c>
      <c r="E93" s="186">
        <f ca="1">IF(ISBLANK(OFFSET('Min. Expl. By Commodity (Data)'!F93, 0, VLOOKUP($C$6, 'Min. Expl. By Commodity (Data)'!$A$9:$B$19, 2, FALSE))),
        "",
        OFFSET('Min. Expl. By Commodity (Data)'!F93, 0, VLOOKUP($C$6, 'Min. Expl. By Commodity (Data)'!$A$9:$B$19, 2, FALSE))
)</f>
        <v>683.3</v>
      </c>
      <c r="F93" s="188">
        <f t="shared" ca="1" si="12"/>
        <v>0.60354163617737455</v>
      </c>
    </row>
    <row r="94" spans="1:6" x14ac:dyDescent="0.3">
      <c r="A94">
        <f t="shared" si="13"/>
        <v>2020</v>
      </c>
      <c r="B94" s="179">
        <v>44075</v>
      </c>
      <c r="C94" s="18">
        <f ca="1">IF(ISBLANK(OFFSET('Min. Expl. By Commodity (Data)'!D94, 0, VLOOKUP($C$6, 'Min. Expl. By Commodity (Data)'!$A$9:$B$19, 2, FALSE))),
        "",
        OFFSET('Min. Expl. By Commodity (Data)'!D94, 0, VLOOKUP($C$6, 'Min. Expl. By Commodity (Data)'!$A$9:$B$19, 2, FALSE))
)</f>
        <v>483.3</v>
      </c>
      <c r="D94" s="19">
        <f ca="1">IF(ISBLANK(OFFSET('Min. Expl. By Commodity (Data)'!E94, 0, VLOOKUP($C$6, 'Min. Expl. By Commodity (Data)'!$A$9:$B$19, 2, FALSE))),
        "",
        OFFSET('Min. Expl. By Commodity (Data)'!E94, 0, VLOOKUP($C$6, 'Min. Expl. By Commodity (Data)'!$A$9:$B$19, 2, FALSE))
)</f>
        <v>261.59999999999997</v>
      </c>
      <c r="E94" s="18">
        <f ca="1">IF(ISBLANK(OFFSET('Min. Expl. By Commodity (Data)'!F94, 0, VLOOKUP($C$6, 'Min. Expl. By Commodity (Data)'!$A$9:$B$19, 2, FALSE))),
        "",
        OFFSET('Min. Expl. By Commodity (Data)'!F94, 0, VLOOKUP($C$6, 'Min. Expl. By Commodity (Data)'!$A$9:$B$19, 2, FALSE))
)</f>
        <v>744.9</v>
      </c>
      <c r="F94" s="180">
        <f t="shared" ca="1" si="12"/>
        <v>0.64881192106323005</v>
      </c>
    </row>
    <row r="95" spans="1:6" x14ac:dyDescent="0.3">
      <c r="A95">
        <f t="shared" si="13"/>
        <v>2020</v>
      </c>
      <c r="B95" s="179">
        <v>44166</v>
      </c>
      <c r="C95" s="186">
        <f ca="1">IF(ISBLANK(OFFSET('Min. Expl. By Commodity (Data)'!D95, 0, VLOOKUP($C$6, 'Min. Expl. By Commodity (Data)'!$A$9:$B$19, 2, FALSE))),
        "",
        OFFSET('Min. Expl. By Commodity (Data)'!D95, 0, VLOOKUP($C$6, 'Min. Expl. By Commodity (Data)'!$A$9:$B$19, 2, FALSE))
)</f>
        <v>494.7</v>
      </c>
      <c r="D95" s="187">
        <f ca="1">IF(ISBLANK(OFFSET('Min. Expl. By Commodity (Data)'!E95, 0, VLOOKUP($C$6, 'Min. Expl. By Commodity (Data)'!$A$9:$B$19, 2, FALSE))),
        "",
        OFFSET('Min. Expl. By Commodity (Data)'!E95, 0, VLOOKUP($C$6, 'Min. Expl. By Commodity (Data)'!$A$9:$B$19, 2, FALSE))
)</f>
        <v>275.3</v>
      </c>
      <c r="E95" s="186">
        <f ca="1">IF(ISBLANK(OFFSET('Min. Expl. By Commodity (Data)'!F95, 0, VLOOKUP($C$6, 'Min. Expl. By Commodity (Data)'!$A$9:$B$19, 2, FALSE))),
        "",
        OFFSET('Min. Expl. By Commodity (Data)'!F95, 0, VLOOKUP($C$6, 'Min. Expl. By Commodity (Data)'!$A$9:$B$19, 2, FALSE))
)</f>
        <v>770</v>
      </c>
      <c r="F95" s="188">
        <f t="shared" ca="1" si="12"/>
        <v>0.64246753246753241</v>
      </c>
    </row>
    <row r="96" spans="1:6" x14ac:dyDescent="0.3">
      <c r="A96">
        <f t="shared" si="13"/>
        <v>2021</v>
      </c>
      <c r="B96" s="179">
        <v>44256</v>
      </c>
      <c r="C96" s="18">
        <f ca="1">IF(ISBLANK(OFFSET('Min. Expl. By Commodity (Data)'!D96, 0, VLOOKUP($C$6, 'Min. Expl. By Commodity (Data)'!$A$9:$B$19, 2, FALSE))),
        "",
        OFFSET('Min. Expl. By Commodity (Data)'!D96, 0, VLOOKUP($C$6, 'Min. Expl. By Commodity (Data)'!$A$9:$B$19, 2, FALSE))
)</f>
        <v>480.2</v>
      </c>
      <c r="D96" s="19">
        <f ca="1">IF(ISBLANK(OFFSET('Min. Expl. By Commodity (Data)'!E96, 0, VLOOKUP($C$6, 'Min. Expl. By Commodity (Data)'!$A$9:$B$19, 2, FALSE))),
        "",
        OFFSET('Min. Expl. By Commodity (Data)'!E96, 0, VLOOKUP($C$6, 'Min. Expl. By Commodity (Data)'!$A$9:$B$19, 2, FALSE))
)</f>
        <v>254.59999999999997</v>
      </c>
      <c r="E96" s="18">
        <f ca="1">IF(ISBLANK(OFFSET('Min. Expl. By Commodity (Data)'!F96, 0, VLOOKUP($C$6, 'Min. Expl. By Commodity (Data)'!$A$9:$B$19, 2, FALSE))),
        "",
        OFFSET('Min. Expl. By Commodity (Data)'!F96, 0, VLOOKUP($C$6, 'Min. Expl. By Commodity (Data)'!$A$9:$B$19, 2, FALSE))
)</f>
        <v>734.8</v>
      </c>
      <c r="F96" s="180">
        <f t="shared" ca="1" si="12"/>
        <v>0.65351115949918348</v>
      </c>
    </row>
    <row r="97" spans="1:6" x14ac:dyDescent="0.3">
      <c r="A97">
        <f t="shared" si="13"/>
        <v>2021</v>
      </c>
      <c r="B97" s="179">
        <v>44348</v>
      </c>
      <c r="C97" s="186">
        <f ca="1">IF(ISBLANK(OFFSET('Min. Expl. By Commodity (Data)'!D97, 0, VLOOKUP($C$6, 'Min. Expl. By Commodity (Data)'!$A$9:$B$19, 2, FALSE))),
        "",
        OFFSET('Min. Expl. By Commodity (Data)'!D97, 0, VLOOKUP($C$6, 'Min. Expl. By Commodity (Data)'!$A$9:$B$19, 2, FALSE))
)</f>
        <v>593.9</v>
      </c>
      <c r="D97" s="187">
        <f ca="1">IF(ISBLANK(OFFSET('Min. Expl. By Commodity (Data)'!E97, 0, VLOOKUP($C$6, 'Min. Expl. By Commodity (Data)'!$A$9:$B$19, 2, FALSE))),
        "",
        OFFSET('Min. Expl. By Commodity (Data)'!E97, 0, VLOOKUP($C$6, 'Min. Expl. By Commodity (Data)'!$A$9:$B$19, 2, FALSE))
)</f>
        <v>318.10000000000002</v>
      </c>
      <c r="E97" s="186">
        <f ca="1">IF(ISBLANK(OFFSET('Min. Expl. By Commodity (Data)'!F97, 0, VLOOKUP($C$6, 'Min. Expl. By Commodity (Data)'!$A$9:$B$19, 2, FALSE))),
        "",
        OFFSET('Min. Expl. By Commodity (Data)'!F97, 0, VLOOKUP($C$6, 'Min. Expl. By Commodity (Data)'!$A$9:$B$19, 2, FALSE))
)</f>
        <v>912</v>
      </c>
      <c r="F97" s="188">
        <f t="shared" ca="1" si="12"/>
        <v>0.65120614035087721</v>
      </c>
    </row>
    <row r="98" spans="1:6" x14ac:dyDescent="0.3">
      <c r="A98">
        <f t="shared" si="13"/>
        <v>2021</v>
      </c>
      <c r="B98" s="179">
        <v>44440</v>
      </c>
      <c r="C98" s="18">
        <f ca="1">IF(ISBLANK(OFFSET('Min. Expl. By Commodity (Data)'!D98, 0, VLOOKUP($C$6, 'Min. Expl. By Commodity (Data)'!$A$9:$B$19, 2, FALSE))),
        "",
        OFFSET('Min. Expl. By Commodity (Data)'!D98, 0, VLOOKUP($C$6, 'Min. Expl. By Commodity (Data)'!$A$9:$B$19, 2, FALSE))
)</f>
        <v>670.5</v>
      </c>
      <c r="D98" s="19">
        <f ca="1">IF(ISBLANK(OFFSET('Min. Expl. By Commodity (Data)'!E98, 0, VLOOKUP($C$6, 'Min. Expl. By Commodity (Data)'!$A$9:$B$19, 2, FALSE))),
        "",
        OFFSET('Min. Expl. By Commodity (Data)'!E98, 0, VLOOKUP($C$6, 'Min. Expl. By Commodity (Data)'!$A$9:$B$19, 2, FALSE))
)</f>
        <v>327.10000000000002</v>
      </c>
      <c r="E98" s="18">
        <f ca="1">IF(ISBLANK(OFFSET('Min. Expl. By Commodity (Data)'!F98, 0, VLOOKUP($C$6, 'Min. Expl. By Commodity (Data)'!$A$9:$B$19, 2, FALSE))),
        "",
        OFFSET('Min. Expl. By Commodity (Data)'!F98, 0, VLOOKUP($C$6, 'Min. Expl. By Commodity (Data)'!$A$9:$B$19, 2, FALSE))
)</f>
        <v>997.6</v>
      </c>
      <c r="F98" s="180">
        <f t="shared" ca="1" si="12"/>
        <v>0.67211307137129106</v>
      </c>
    </row>
    <row r="99" spans="1:6" x14ac:dyDescent="0.3">
      <c r="A99">
        <f t="shared" si="13"/>
        <v>2021</v>
      </c>
      <c r="B99" s="179">
        <v>44531</v>
      </c>
      <c r="C99" s="186">
        <f ca="1">IF(ISBLANK(OFFSET('Min. Expl. By Commodity (Data)'!D99, 0, VLOOKUP($C$6, 'Min. Expl. By Commodity (Data)'!$A$9:$B$19, 2, FALSE))),
        "",
        OFFSET('Min. Expl. By Commodity (Data)'!D99, 0, VLOOKUP($C$6, 'Min. Expl. By Commodity (Data)'!$A$9:$B$19, 2, FALSE))
)</f>
        <v>606.79999999999995</v>
      </c>
      <c r="D99" s="187">
        <f ca="1">IF(ISBLANK(OFFSET('Min. Expl. By Commodity (Data)'!E99, 0, VLOOKUP($C$6, 'Min. Expl. By Commodity (Data)'!$A$9:$B$19, 2, FALSE))),
        "",
        OFFSET('Min. Expl. By Commodity (Data)'!E99, 0, VLOOKUP($C$6, 'Min. Expl. By Commodity (Data)'!$A$9:$B$19, 2, FALSE))
)</f>
        <v>344.90000000000009</v>
      </c>
      <c r="E99" s="186">
        <f ca="1">IF(ISBLANK(OFFSET('Min. Expl. By Commodity (Data)'!F99, 0, VLOOKUP($C$6, 'Min. Expl. By Commodity (Data)'!$A$9:$B$19, 2, FALSE))),
        "",
        OFFSET('Min. Expl. By Commodity (Data)'!F99, 0, VLOOKUP($C$6, 'Min. Expl. By Commodity (Data)'!$A$9:$B$19, 2, FALSE))
)</f>
        <v>951.7</v>
      </c>
      <c r="F99" s="188">
        <f t="shared" ca="1" si="12"/>
        <v>0.63759588105495424</v>
      </c>
    </row>
    <row r="100" spans="1:6" x14ac:dyDescent="0.3">
      <c r="A100">
        <f t="shared" si="13"/>
        <v>2022</v>
      </c>
      <c r="B100" s="179">
        <v>44621</v>
      </c>
      <c r="C100" s="18">
        <f ca="1">IF(ISBLANK(OFFSET('Min. Expl. By Commodity (Data)'!D100, 0, VLOOKUP($C$6, 'Min. Expl. By Commodity (Data)'!$A$9:$B$19, 2, FALSE))),
        "",
        OFFSET('Min. Expl. By Commodity (Data)'!D100, 0, VLOOKUP($C$6, 'Min. Expl. By Commodity (Data)'!$A$9:$B$19, 2, FALSE))
)</f>
        <v>526.5</v>
      </c>
      <c r="D100" s="19">
        <f ca="1">IF(ISBLANK(OFFSET('Min. Expl. By Commodity (Data)'!E100, 0, VLOOKUP($C$6, 'Min. Expl. By Commodity (Data)'!$A$9:$B$19, 2, FALSE))),
        "",
        OFFSET('Min. Expl. By Commodity (Data)'!E100, 0, VLOOKUP($C$6, 'Min. Expl. By Commodity (Data)'!$A$9:$B$19, 2, FALSE))
)</f>
        <v>328.79999999999995</v>
      </c>
      <c r="E100" s="18">
        <f ca="1">IF(ISBLANK(OFFSET('Min. Expl. By Commodity (Data)'!F100, 0, VLOOKUP($C$6, 'Min. Expl. By Commodity (Data)'!$A$9:$B$19, 2, FALSE))),
        "",
        OFFSET('Min. Expl. By Commodity (Data)'!F100, 0, VLOOKUP($C$6, 'Min. Expl. By Commodity (Data)'!$A$9:$B$19, 2, FALSE))
)</f>
        <v>855.3</v>
      </c>
      <c r="F100" s="180">
        <f t="shared" ca="1" si="12"/>
        <v>0.61557348298842518</v>
      </c>
    </row>
    <row r="101" spans="1:6" x14ac:dyDescent="0.3">
      <c r="A101">
        <f t="shared" si="13"/>
        <v>2022</v>
      </c>
      <c r="B101" s="179">
        <v>44713</v>
      </c>
      <c r="C101" s="186">
        <f ca="1">IF(ISBLANK(OFFSET('Min. Expl. By Commodity (Data)'!D101, 0, VLOOKUP($C$6, 'Min. Expl. By Commodity (Data)'!$A$9:$B$19, 2, FALSE))),
        "",
        OFFSET('Min. Expl. By Commodity (Data)'!D101, 0, VLOOKUP($C$6, 'Min. Expl. By Commodity (Data)'!$A$9:$B$19, 2, FALSE))
)</f>
        <v>674.8</v>
      </c>
      <c r="D101" s="187">
        <f ca="1">IF(ISBLANK(OFFSET('Min. Expl. By Commodity (Data)'!E101, 0, VLOOKUP($C$6, 'Min. Expl. By Commodity (Data)'!$A$9:$B$19, 2, FALSE))),
        "",
        OFFSET('Min. Expl. By Commodity (Data)'!E101, 0, VLOOKUP($C$6, 'Min. Expl. By Commodity (Data)'!$A$9:$B$19, 2, FALSE))
)</f>
        <v>382.5</v>
      </c>
      <c r="E101" s="186">
        <f ca="1">IF(ISBLANK(OFFSET('Min. Expl. By Commodity (Data)'!F101, 0, VLOOKUP($C$6, 'Min. Expl. By Commodity (Data)'!$A$9:$B$19, 2, FALSE))),
        "",
        OFFSET('Min. Expl. By Commodity (Data)'!F101, 0, VLOOKUP($C$6, 'Min. Expl. By Commodity (Data)'!$A$9:$B$19, 2, FALSE))
)</f>
        <v>1057.3</v>
      </c>
      <c r="F101" s="188">
        <f t="shared" ca="1" si="12"/>
        <v>0.63822945237870043</v>
      </c>
    </row>
    <row r="102" spans="1:6" x14ac:dyDescent="0.3">
      <c r="A102">
        <f t="shared" si="13"/>
        <v>2022</v>
      </c>
      <c r="B102" s="179">
        <v>44805</v>
      </c>
      <c r="C102" s="18">
        <f ca="1">IF(ISBLANK(OFFSET('Min. Expl. By Commodity (Data)'!D102, 0, VLOOKUP($C$6, 'Min. Expl. By Commodity (Data)'!$A$9:$B$19, 2, FALSE))),
        "",
        OFFSET('Min. Expl. By Commodity (Data)'!D102, 0, VLOOKUP($C$6, 'Min. Expl. By Commodity (Data)'!$A$9:$B$19, 2, FALSE))
)</f>
        <v>700.5</v>
      </c>
      <c r="D102" s="19">
        <f ca="1">IF(ISBLANK(OFFSET('Min. Expl. By Commodity (Data)'!E102, 0, VLOOKUP($C$6, 'Min. Expl. By Commodity (Data)'!$A$9:$B$19, 2, FALSE))),
        "",
        OFFSET('Min. Expl. By Commodity (Data)'!E102, 0, VLOOKUP($C$6, 'Min. Expl. By Commodity (Data)'!$A$9:$B$19, 2, FALSE))
)</f>
        <v>398.79999999999995</v>
      </c>
      <c r="E102" s="18">
        <f ca="1">IF(ISBLANK(OFFSET('Min. Expl. By Commodity (Data)'!F102, 0, VLOOKUP($C$6, 'Min. Expl. By Commodity (Data)'!$A$9:$B$19, 2, FALSE))),
        "",
        OFFSET('Min. Expl. By Commodity (Data)'!F102, 0, VLOOKUP($C$6, 'Min. Expl. By Commodity (Data)'!$A$9:$B$19, 2, FALSE))
)</f>
        <v>1099.3</v>
      </c>
      <c r="F102" s="180">
        <f t="shared" ca="1" si="12"/>
        <v>0.6372236878013281</v>
      </c>
    </row>
    <row r="103" spans="1:6" x14ac:dyDescent="0.3">
      <c r="A103">
        <f t="shared" si="13"/>
        <v>2022</v>
      </c>
      <c r="B103" s="179">
        <v>44896</v>
      </c>
      <c r="C103" s="186">
        <f ca="1">IF(ISBLANK(OFFSET('Min. Expl. By Commodity (Data)'!D103, 0, VLOOKUP($C$6, 'Min. Expl. By Commodity (Data)'!$A$9:$B$19, 2, FALSE))),
        "",
        OFFSET('Min. Expl. By Commodity (Data)'!D103, 0, VLOOKUP($C$6, 'Min. Expl. By Commodity (Data)'!$A$9:$B$19, 2, FALSE))
)</f>
        <v>645</v>
      </c>
      <c r="D103" s="187">
        <f ca="1">IF(ISBLANK(OFFSET('Min. Expl. By Commodity (Data)'!E103, 0, VLOOKUP($C$6, 'Min. Expl. By Commodity (Data)'!$A$9:$B$19, 2, FALSE))),
        "",
        OFFSET('Min. Expl. By Commodity (Data)'!E103, 0, VLOOKUP($C$6, 'Min. Expl. By Commodity (Data)'!$A$9:$B$19, 2, FALSE))
)</f>
        <v>403.20000000000005</v>
      </c>
      <c r="E103" s="186">
        <f ca="1">IF(ISBLANK(OFFSET('Min. Expl. By Commodity (Data)'!F103, 0, VLOOKUP($C$6, 'Min. Expl. By Commodity (Data)'!$A$9:$B$19, 2, FALSE))),
        "",
        OFFSET('Min. Expl. By Commodity (Data)'!F103, 0, VLOOKUP($C$6, 'Min. Expl. By Commodity (Data)'!$A$9:$B$19, 2, FALSE))
)</f>
        <v>1048.2</v>
      </c>
      <c r="F103" s="188">
        <f t="shared" ca="1" si="12"/>
        <v>0.61534058385804236</v>
      </c>
    </row>
    <row r="104" spans="1:6" x14ac:dyDescent="0.3">
      <c r="A104">
        <f t="shared" si="13"/>
        <v>2023</v>
      </c>
      <c r="B104" s="179">
        <v>44986</v>
      </c>
      <c r="C104" s="18">
        <f ca="1">IF(ISBLANK(OFFSET('Min. Expl. By Commodity (Data)'!D104, 0, VLOOKUP($C$6, 'Min. Expl. By Commodity (Data)'!$A$9:$B$19, 2, FALSE))),
        "",
        OFFSET('Min. Expl. By Commodity (Data)'!D104, 0, VLOOKUP($C$6, 'Min. Expl. By Commodity (Data)'!$A$9:$B$19, 2, FALSE))
)</f>
        <v>545.5</v>
      </c>
      <c r="D104" s="19">
        <f ca="1">IF(ISBLANK(OFFSET('Min. Expl. By Commodity (Data)'!E104, 0, VLOOKUP($C$6, 'Min. Expl. By Commodity (Data)'!$A$9:$B$19, 2, FALSE))),
        "",
        OFFSET('Min. Expl. By Commodity (Data)'!E104, 0, VLOOKUP($C$6, 'Min. Expl. By Commodity (Data)'!$A$9:$B$19, 2, FALSE))
)</f>
        <v>350.4</v>
      </c>
      <c r="E104" s="18">
        <f ca="1">IF(ISBLANK(OFFSET('Min. Expl. By Commodity (Data)'!F104, 0, VLOOKUP($C$6, 'Min. Expl. By Commodity (Data)'!$A$9:$B$19, 2, FALSE))),
        "",
        OFFSET('Min. Expl. By Commodity (Data)'!F104, 0, VLOOKUP($C$6, 'Min. Expl. By Commodity (Data)'!$A$9:$B$19, 2, FALSE))
)</f>
        <v>895.9</v>
      </c>
      <c r="F104" s="180">
        <f t="shared" ca="1" si="12"/>
        <v>0.6088849201919857</v>
      </c>
    </row>
    <row r="105" spans="1:6" x14ac:dyDescent="0.3">
      <c r="A105">
        <f t="shared" si="13"/>
        <v>2023</v>
      </c>
      <c r="B105" s="179">
        <v>45078</v>
      </c>
      <c r="C105" s="186">
        <f ca="1">IF(ISBLANK(OFFSET('Min. Expl. By Commodity (Data)'!D105, 0, VLOOKUP($C$6, 'Min. Expl. By Commodity (Data)'!$A$9:$B$19, 2, FALSE))),
        "",
        OFFSET('Min. Expl. By Commodity (Data)'!D105, 0, VLOOKUP($C$6, 'Min. Expl. By Commodity (Data)'!$A$9:$B$19, 2, FALSE))
)</f>
        <v>663.9</v>
      </c>
      <c r="D105" s="187">
        <f ca="1">IF(ISBLANK(OFFSET('Min. Expl. By Commodity (Data)'!E105, 0, VLOOKUP($C$6, 'Min. Expl. By Commodity (Data)'!$A$9:$B$19, 2, FALSE))),
        "",
        OFFSET('Min. Expl. By Commodity (Data)'!E105, 0, VLOOKUP($C$6, 'Min. Expl. By Commodity (Data)'!$A$9:$B$19, 2, FALSE))
)</f>
        <v>426.1</v>
      </c>
      <c r="E105" s="186">
        <f ca="1">IF(ISBLANK(OFFSET('Min. Expl. By Commodity (Data)'!F105, 0, VLOOKUP($C$6, 'Min. Expl. By Commodity (Data)'!$A$9:$B$19, 2, FALSE))),
        "",
        OFFSET('Min. Expl. By Commodity (Data)'!F105, 0, VLOOKUP($C$6, 'Min. Expl. By Commodity (Data)'!$A$9:$B$19, 2, FALSE))
)</f>
        <v>1090</v>
      </c>
      <c r="F105" s="188">
        <f t="shared" ca="1" si="12"/>
        <v>0.60908256880733946</v>
      </c>
    </row>
    <row r="106" spans="1:6" x14ac:dyDescent="0.3">
      <c r="A106">
        <f t="shared" si="13"/>
        <v>2023</v>
      </c>
      <c r="B106" s="179">
        <v>45170</v>
      </c>
      <c r="C106" s="18">
        <f ca="1">IF(ISBLANK(OFFSET('Min. Expl. By Commodity (Data)'!D106, 0, VLOOKUP($C$6, 'Min. Expl. By Commodity (Data)'!$A$9:$B$19, 2, FALSE))),
        "",
        OFFSET('Min. Expl. By Commodity (Data)'!D106, 0, VLOOKUP($C$6, 'Min. Expl. By Commodity (Data)'!$A$9:$B$19, 2, FALSE))
)</f>
        <v>714.9</v>
      </c>
      <c r="D106" s="19">
        <f ca="1">IF(ISBLANK(OFFSET('Min. Expl. By Commodity (Data)'!E106, 0, VLOOKUP($C$6, 'Min. Expl. By Commodity (Data)'!$A$9:$B$19, 2, FALSE))),
        "",
        OFFSET('Min. Expl. By Commodity (Data)'!E106, 0, VLOOKUP($C$6, 'Min. Expl. By Commodity (Data)'!$A$9:$B$19, 2, FALSE))
)</f>
        <v>445.00000000000011</v>
      </c>
      <c r="E106" s="18">
        <f ca="1">IF(ISBLANK(OFFSET('Min. Expl. By Commodity (Data)'!F106, 0, VLOOKUP($C$6, 'Min. Expl. By Commodity (Data)'!$A$9:$B$19, 2, FALSE))),
        "",
        OFFSET('Min. Expl. By Commodity (Data)'!F106, 0, VLOOKUP($C$6, 'Min. Expl. By Commodity (Data)'!$A$9:$B$19, 2, FALSE))
)</f>
        <v>1159.9000000000001</v>
      </c>
      <c r="F106" s="180">
        <f t="shared" ca="1" si="12"/>
        <v>0.61634623674454692</v>
      </c>
    </row>
    <row r="107" spans="1:6" x14ac:dyDescent="0.3">
      <c r="A107">
        <f t="shared" si="13"/>
        <v>2023</v>
      </c>
      <c r="B107" s="179">
        <v>45261</v>
      </c>
      <c r="C107" s="186">
        <f ca="1">IF(ISBLANK(OFFSET('Min. Expl. By Commodity (Data)'!D107, 0, VLOOKUP($C$6, 'Min. Expl. By Commodity (Data)'!$A$9:$B$19, 2, FALSE))),
        "",
        OFFSET('Min. Expl. By Commodity (Data)'!D107, 0, VLOOKUP($C$6, 'Min. Expl. By Commodity (Data)'!$A$9:$B$19, 2, FALSE))
)</f>
        <v>676.9</v>
      </c>
      <c r="D107" s="187">
        <f ca="1">IF(ISBLANK(OFFSET('Min. Expl. By Commodity (Data)'!E107, 0, VLOOKUP($C$6, 'Min. Expl. By Commodity (Data)'!$A$9:$B$19, 2, FALSE))),
        "",
        OFFSET('Min. Expl. By Commodity (Data)'!E107, 0, VLOOKUP($C$6, 'Min. Expl. By Commodity (Data)'!$A$9:$B$19, 2, FALSE))
)</f>
        <v>437.9</v>
      </c>
      <c r="E107" s="186">
        <f ca="1">IF(ISBLANK(OFFSET('Min. Expl. By Commodity (Data)'!F107, 0, VLOOKUP($C$6, 'Min. Expl. By Commodity (Data)'!$A$9:$B$19, 2, FALSE))),
        "",
        OFFSET('Min. Expl. By Commodity (Data)'!F107, 0, VLOOKUP($C$6, 'Min. Expl. By Commodity (Data)'!$A$9:$B$19, 2, FALSE))
)</f>
        <v>1114.8</v>
      </c>
      <c r="F107" s="188">
        <f t="shared" ca="1" si="12"/>
        <v>0.60719411553641911</v>
      </c>
    </row>
    <row r="108" spans="1:6" x14ac:dyDescent="0.3">
      <c r="A108">
        <f t="shared" si="13"/>
        <v>2024</v>
      </c>
      <c r="B108" s="179">
        <v>45352</v>
      </c>
      <c r="C108" s="18">
        <f ca="1">IF(ISBLANK(OFFSET('Min. Expl. By Commodity (Data)'!D108, 0, VLOOKUP($C$6, 'Min. Expl. By Commodity (Data)'!$A$9:$B$19, 2, FALSE))),
        "",
        OFFSET('Min. Expl. By Commodity (Data)'!D108, 0, VLOOKUP($C$6, 'Min. Expl. By Commodity (Data)'!$A$9:$B$19, 2, FALSE))
)</f>
        <v>553.6</v>
      </c>
      <c r="D108" s="19">
        <f ca="1">IF(ISBLANK(OFFSET('Min. Expl. By Commodity (Data)'!E108, 0, VLOOKUP($C$6, 'Min. Expl. By Commodity (Data)'!$A$9:$B$19, 2, FALSE))),
        "",
        OFFSET('Min. Expl. By Commodity (Data)'!E108, 0, VLOOKUP($C$6, 'Min. Expl. By Commodity (Data)'!$A$9:$B$19, 2, FALSE))
)</f>
        <v>356</v>
      </c>
      <c r="E108" s="18">
        <f ca="1">IF(ISBLANK(OFFSET('Min. Expl. By Commodity (Data)'!F108, 0, VLOOKUP($C$6, 'Min. Expl. By Commodity (Data)'!$A$9:$B$19, 2, FALSE))),
        "",
        OFFSET('Min. Expl. By Commodity (Data)'!F108, 0, VLOOKUP($C$6, 'Min. Expl. By Commodity (Data)'!$A$9:$B$19, 2, FALSE))
)</f>
        <v>909.6</v>
      </c>
      <c r="F108" s="180">
        <f t="shared" ref="F108:F109" ca="1" si="14">IF(OR(C108="", E108=""), "n/a", C108/E108)</f>
        <v>0.60861917326297277</v>
      </c>
    </row>
    <row r="109" spans="1:6" ht="15" thickBot="1" x14ac:dyDescent="0.35">
      <c r="A109">
        <f t="shared" si="13"/>
        <v>2024</v>
      </c>
      <c r="B109" s="201">
        <v>45444</v>
      </c>
      <c r="C109" s="202">
        <f ca="1">IF(ISBLANK(OFFSET('Min. Expl. By Commodity (Data)'!D109, 0, VLOOKUP($C$6, 'Min. Expl. By Commodity (Data)'!$A$9:$B$19, 2, FALSE))),
        "",
        OFFSET('Min. Expl. By Commodity (Data)'!D109, 0, VLOOKUP($C$6, 'Min. Expl. By Commodity (Data)'!$A$9:$B$19, 2, FALSE))
)</f>
        <v>629.79999999999995</v>
      </c>
      <c r="D109" s="203">
        <f ca="1">IF(ISBLANK(OFFSET('Min. Expl. By Commodity (Data)'!E109, 0, VLOOKUP($C$6, 'Min. Expl. By Commodity (Data)'!$A$9:$B$19, 2, FALSE))),
        "",
        OFFSET('Min. Expl. By Commodity (Data)'!E109, 0, VLOOKUP($C$6, 'Min. Expl. By Commodity (Data)'!$A$9:$B$19, 2, FALSE))
)</f>
        <v>385.5</v>
      </c>
      <c r="E109" s="202">
        <f ca="1">IF(ISBLANK(OFFSET('Min. Expl. By Commodity (Data)'!F109, 0, VLOOKUP($C$6, 'Min. Expl. By Commodity (Data)'!$A$9:$B$19, 2, FALSE))),
        "",
        OFFSET('Min. Expl. By Commodity (Data)'!F109, 0, VLOOKUP($C$6, 'Min. Expl. By Commodity (Data)'!$A$9:$B$19, 2, FALSE))
)</f>
        <v>1015.3</v>
      </c>
      <c r="F109" s="204">
        <f t="shared" ca="1" si="14"/>
        <v>0.62030926819659216</v>
      </c>
    </row>
    <row r="110" spans="1:6" x14ac:dyDescent="0.3">
      <c r="A110">
        <f t="shared" si="13"/>
        <v>1900</v>
      </c>
      <c r="B110" s="207"/>
    </row>
    <row r="111" spans="1:6" x14ac:dyDescent="0.3">
      <c r="A111">
        <f t="shared" si="13"/>
        <v>1900</v>
      </c>
      <c r="B111" s="207"/>
    </row>
    <row r="112" spans="1:6" x14ac:dyDescent="0.3">
      <c r="A112">
        <f t="shared" si="13"/>
        <v>1900</v>
      </c>
      <c r="B112" s="207"/>
    </row>
    <row r="113" spans="1:5" x14ac:dyDescent="0.3">
      <c r="A113">
        <f t="shared" si="13"/>
        <v>1900</v>
      </c>
      <c r="B113" s="208"/>
    </row>
    <row r="114" spans="1:5" x14ac:dyDescent="0.3">
      <c r="A114">
        <f t="shared" si="13"/>
        <v>1900</v>
      </c>
    </row>
    <row r="115" spans="1:5" x14ac:dyDescent="0.3">
      <c r="A115">
        <f t="shared" si="13"/>
        <v>1900</v>
      </c>
      <c r="B115" s="205"/>
      <c r="C115" s="209"/>
      <c r="E115" s="209"/>
    </row>
    <row r="116" spans="1:5" x14ac:dyDescent="0.3">
      <c r="A116">
        <f t="shared" si="13"/>
        <v>1900</v>
      </c>
      <c r="B116" s="205"/>
      <c r="C116" s="209"/>
      <c r="E116" s="209"/>
    </row>
    <row r="117" spans="1:5" x14ac:dyDescent="0.3">
      <c r="A117">
        <f t="shared" si="13"/>
        <v>1900</v>
      </c>
      <c r="B117" s="205"/>
      <c r="C117" s="209"/>
      <c r="E117" s="209"/>
    </row>
    <row r="118" spans="1:5" x14ac:dyDescent="0.3">
      <c r="A118">
        <f t="shared" si="13"/>
        <v>1900</v>
      </c>
      <c r="B118" s="205"/>
      <c r="C118" s="209"/>
      <c r="E118" s="209"/>
    </row>
    <row r="119" spans="1:5" x14ac:dyDescent="0.3">
      <c r="A119">
        <f t="shared" si="13"/>
        <v>1900</v>
      </c>
      <c r="B119" s="207"/>
      <c r="C119" s="209"/>
      <c r="D119" s="209"/>
      <c r="E119" s="209"/>
    </row>
    <row r="120" spans="1:5" x14ac:dyDescent="0.3">
      <c r="A120">
        <f t="shared" si="13"/>
        <v>1900</v>
      </c>
      <c r="B120" s="207"/>
      <c r="C120" s="209"/>
      <c r="D120" s="209"/>
      <c r="E120" s="209"/>
    </row>
    <row r="121" spans="1:5" x14ac:dyDescent="0.3">
      <c r="A121">
        <f t="shared" si="13"/>
        <v>1900</v>
      </c>
      <c r="B121" s="205"/>
      <c r="C121" s="209"/>
      <c r="D121" s="209"/>
      <c r="E121" s="209"/>
    </row>
    <row r="122" spans="1:5" x14ac:dyDescent="0.3">
      <c r="A122">
        <f t="shared" si="13"/>
        <v>1900</v>
      </c>
      <c r="B122" s="206"/>
      <c r="C122" s="209"/>
      <c r="D122" s="209"/>
      <c r="E122" s="209"/>
    </row>
    <row r="123" spans="1:5" x14ac:dyDescent="0.3">
      <c r="A123">
        <f t="shared" si="13"/>
        <v>1900</v>
      </c>
      <c r="B123" s="207"/>
      <c r="C123" s="209"/>
      <c r="D123" s="209"/>
      <c r="E123" s="209"/>
    </row>
    <row r="124" spans="1:5" x14ac:dyDescent="0.3">
      <c r="A124">
        <f t="shared" si="13"/>
        <v>1900</v>
      </c>
      <c r="B124" s="207"/>
      <c r="C124" s="209"/>
      <c r="D124" s="209"/>
      <c r="E124" s="209"/>
    </row>
    <row r="125" spans="1:5" x14ac:dyDescent="0.3">
      <c r="A125">
        <f t="shared" si="13"/>
        <v>1900</v>
      </c>
      <c r="B125" s="207"/>
      <c r="C125" s="209"/>
      <c r="D125" s="209"/>
      <c r="E125" s="209"/>
    </row>
    <row r="126" spans="1:5" x14ac:dyDescent="0.3">
      <c r="A126">
        <f t="shared" si="13"/>
        <v>1900</v>
      </c>
      <c r="B126" s="208"/>
      <c r="C126" s="209"/>
      <c r="D126" s="209"/>
      <c r="E126" s="209"/>
    </row>
    <row r="127" spans="1:5" x14ac:dyDescent="0.3">
      <c r="A127">
        <f t="shared" si="13"/>
        <v>1900</v>
      </c>
      <c r="C127" s="209"/>
      <c r="D127" s="209"/>
      <c r="E127" s="209"/>
    </row>
    <row r="128" spans="1:5" x14ac:dyDescent="0.3">
      <c r="A128">
        <f t="shared" si="13"/>
        <v>1900</v>
      </c>
      <c r="C128" s="209"/>
      <c r="D128" s="209"/>
      <c r="E128" s="209"/>
    </row>
    <row r="129" spans="1:5" x14ac:dyDescent="0.3">
      <c r="A129">
        <f t="shared" si="13"/>
        <v>1900</v>
      </c>
      <c r="C129" s="209"/>
      <c r="D129" s="209"/>
      <c r="E129" s="209"/>
    </row>
    <row r="130" spans="1:5" x14ac:dyDescent="0.3">
      <c r="A130">
        <f t="shared" si="13"/>
        <v>1900</v>
      </c>
      <c r="C130" s="209"/>
      <c r="D130" s="209"/>
      <c r="E130" s="209"/>
    </row>
    <row r="131" spans="1:5" x14ac:dyDescent="0.3">
      <c r="A131">
        <f t="shared" si="13"/>
        <v>1900</v>
      </c>
      <c r="C131" s="209"/>
      <c r="D131" s="209"/>
      <c r="E131" s="209"/>
    </row>
    <row r="132" spans="1:5" x14ac:dyDescent="0.3">
      <c r="A132">
        <f t="shared" si="13"/>
        <v>1900</v>
      </c>
      <c r="C132" s="209"/>
      <c r="D132" s="209"/>
      <c r="E132" s="209"/>
    </row>
    <row r="133" spans="1:5" x14ac:dyDescent="0.3">
      <c r="A133">
        <f t="shared" si="13"/>
        <v>1900</v>
      </c>
      <c r="C133" s="209"/>
      <c r="D133" s="209"/>
      <c r="E133" s="209"/>
    </row>
    <row r="134" spans="1:5" x14ac:dyDescent="0.3">
      <c r="A134">
        <f t="shared" si="13"/>
        <v>1900</v>
      </c>
      <c r="C134" s="209"/>
      <c r="D134" s="209"/>
      <c r="E134" s="209"/>
    </row>
    <row r="135" spans="1:5" x14ac:dyDescent="0.3">
      <c r="A135">
        <f t="shared" si="13"/>
        <v>1900</v>
      </c>
      <c r="C135" s="209"/>
      <c r="D135" s="209"/>
      <c r="E135" s="209"/>
    </row>
    <row r="136" spans="1:5" x14ac:dyDescent="0.3">
      <c r="A136">
        <f t="shared" si="13"/>
        <v>1900</v>
      </c>
      <c r="C136" s="209"/>
      <c r="D136" s="209"/>
      <c r="E136" s="209"/>
    </row>
    <row r="137" spans="1:5" x14ac:dyDescent="0.3">
      <c r="A137">
        <f t="shared" si="13"/>
        <v>1900</v>
      </c>
      <c r="C137" s="209"/>
      <c r="D137" s="209"/>
      <c r="E137" s="209"/>
    </row>
    <row r="138" spans="1:5" x14ac:dyDescent="0.3">
      <c r="A138">
        <f t="shared" si="13"/>
        <v>1900</v>
      </c>
      <c r="C138" s="209"/>
      <c r="D138" s="209"/>
      <c r="E138" s="209"/>
    </row>
    <row r="139" spans="1:5" x14ac:dyDescent="0.3">
      <c r="A139">
        <f t="shared" ref="A139:A202" si="15">YEAR(B139)</f>
        <v>1900</v>
      </c>
      <c r="C139" s="209"/>
      <c r="D139" s="209"/>
      <c r="E139" s="209"/>
    </row>
    <row r="140" spans="1:5" x14ac:dyDescent="0.3">
      <c r="A140">
        <f t="shared" si="15"/>
        <v>1900</v>
      </c>
      <c r="C140" s="209"/>
      <c r="D140" s="209"/>
      <c r="E140" s="209"/>
    </row>
    <row r="141" spans="1:5" x14ac:dyDescent="0.3">
      <c r="A141">
        <f t="shared" si="15"/>
        <v>1900</v>
      </c>
      <c r="C141" s="209"/>
      <c r="D141" s="209"/>
      <c r="E141" s="209"/>
    </row>
    <row r="142" spans="1:5" x14ac:dyDescent="0.3">
      <c r="A142">
        <f t="shared" si="15"/>
        <v>1900</v>
      </c>
      <c r="C142" s="209"/>
      <c r="D142" s="209"/>
      <c r="E142" s="209"/>
    </row>
    <row r="143" spans="1:5" x14ac:dyDescent="0.3">
      <c r="A143">
        <f t="shared" si="15"/>
        <v>1900</v>
      </c>
    </row>
    <row r="144" spans="1:5" x14ac:dyDescent="0.3">
      <c r="A144">
        <f t="shared" si="15"/>
        <v>1900</v>
      </c>
    </row>
    <row r="145" spans="1:1" x14ac:dyDescent="0.3">
      <c r="A145">
        <f t="shared" si="15"/>
        <v>1900</v>
      </c>
    </row>
    <row r="146" spans="1:1" x14ac:dyDescent="0.3">
      <c r="A146">
        <f t="shared" si="15"/>
        <v>1900</v>
      </c>
    </row>
    <row r="147" spans="1:1" x14ac:dyDescent="0.3">
      <c r="A147">
        <f t="shared" si="15"/>
        <v>1900</v>
      </c>
    </row>
    <row r="148" spans="1:1" x14ac:dyDescent="0.3">
      <c r="A148">
        <f t="shared" si="15"/>
        <v>1900</v>
      </c>
    </row>
    <row r="149" spans="1:1" x14ac:dyDescent="0.3">
      <c r="A149">
        <f t="shared" si="15"/>
        <v>1900</v>
      </c>
    </row>
    <row r="150" spans="1:1" x14ac:dyDescent="0.3">
      <c r="A150">
        <f t="shared" si="15"/>
        <v>1900</v>
      </c>
    </row>
    <row r="151" spans="1:1" x14ac:dyDescent="0.3">
      <c r="A151">
        <f t="shared" si="15"/>
        <v>1900</v>
      </c>
    </row>
    <row r="152" spans="1:1" x14ac:dyDescent="0.3">
      <c r="A152">
        <f t="shared" si="15"/>
        <v>1900</v>
      </c>
    </row>
    <row r="153" spans="1:1" x14ac:dyDescent="0.3">
      <c r="A153">
        <f t="shared" si="15"/>
        <v>1900</v>
      </c>
    </row>
    <row r="154" spans="1:1" x14ac:dyDescent="0.3">
      <c r="A154">
        <f t="shared" si="15"/>
        <v>1900</v>
      </c>
    </row>
    <row r="155" spans="1:1" x14ac:dyDescent="0.3">
      <c r="A155">
        <f t="shared" si="15"/>
        <v>1900</v>
      </c>
    </row>
    <row r="156" spans="1:1" x14ac:dyDescent="0.3">
      <c r="A156">
        <f t="shared" si="15"/>
        <v>1900</v>
      </c>
    </row>
    <row r="157" spans="1:1" x14ac:dyDescent="0.3">
      <c r="A157">
        <f t="shared" si="15"/>
        <v>1900</v>
      </c>
    </row>
    <row r="158" spans="1:1" x14ac:dyDescent="0.3">
      <c r="A158">
        <f t="shared" si="15"/>
        <v>1900</v>
      </c>
    </row>
    <row r="159" spans="1:1" x14ac:dyDescent="0.3">
      <c r="A159">
        <f t="shared" si="15"/>
        <v>1900</v>
      </c>
    </row>
    <row r="160" spans="1:1" x14ac:dyDescent="0.3">
      <c r="A160">
        <f t="shared" si="15"/>
        <v>1900</v>
      </c>
    </row>
    <row r="161" spans="1:1" x14ac:dyDescent="0.3">
      <c r="A161">
        <f t="shared" si="15"/>
        <v>1900</v>
      </c>
    </row>
    <row r="162" spans="1:1" x14ac:dyDescent="0.3">
      <c r="A162">
        <f t="shared" si="15"/>
        <v>1900</v>
      </c>
    </row>
    <row r="163" spans="1:1" x14ac:dyDescent="0.3">
      <c r="A163">
        <f t="shared" si="15"/>
        <v>1900</v>
      </c>
    </row>
    <row r="164" spans="1:1" x14ac:dyDescent="0.3">
      <c r="A164">
        <f t="shared" si="15"/>
        <v>1900</v>
      </c>
    </row>
    <row r="165" spans="1:1" x14ac:dyDescent="0.3">
      <c r="A165">
        <f t="shared" si="15"/>
        <v>1900</v>
      </c>
    </row>
    <row r="166" spans="1:1" x14ac:dyDescent="0.3">
      <c r="A166">
        <f t="shared" si="15"/>
        <v>1900</v>
      </c>
    </row>
    <row r="167" spans="1:1" x14ac:dyDescent="0.3">
      <c r="A167">
        <f t="shared" si="15"/>
        <v>1900</v>
      </c>
    </row>
    <row r="168" spans="1:1" x14ac:dyDescent="0.3">
      <c r="A168">
        <f t="shared" si="15"/>
        <v>1900</v>
      </c>
    </row>
    <row r="169" spans="1:1" x14ac:dyDescent="0.3">
      <c r="A169">
        <f t="shared" si="15"/>
        <v>1900</v>
      </c>
    </row>
    <row r="170" spans="1:1" x14ac:dyDescent="0.3">
      <c r="A170">
        <f t="shared" si="15"/>
        <v>1900</v>
      </c>
    </row>
    <row r="171" spans="1:1" x14ac:dyDescent="0.3">
      <c r="A171">
        <f t="shared" si="15"/>
        <v>1900</v>
      </c>
    </row>
    <row r="172" spans="1:1" x14ac:dyDescent="0.3">
      <c r="A172">
        <f t="shared" si="15"/>
        <v>1900</v>
      </c>
    </row>
    <row r="173" spans="1:1" x14ac:dyDescent="0.3">
      <c r="A173">
        <f t="shared" si="15"/>
        <v>1900</v>
      </c>
    </row>
    <row r="174" spans="1:1" x14ac:dyDescent="0.3">
      <c r="A174">
        <f t="shared" si="15"/>
        <v>1900</v>
      </c>
    </row>
    <row r="175" spans="1:1" x14ac:dyDescent="0.3">
      <c r="A175">
        <f t="shared" si="15"/>
        <v>1900</v>
      </c>
    </row>
    <row r="176" spans="1:1" x14ac:dyDescent="0.3">
      <c r="A176">
        <f t="shared" si="15"/>
        <v>1900</v>
      </c>
    </row>
    <row r="177" spans="1:1" x14ac:dyDescent="0.3">
      <c r="A177">
        <f t="shared" si="15"/>
        <v>1900</v>
      </c>
    </row>
    <row r="178" spans="1:1" x14ac:dyDescent="0.3">
      <c r="A178">
        <f t="shared" si="15"/>
        <v>1900</v>
      </c>
    </row>
    <row r="179" spans="1:1" x14ac:dyDescent="0.3">
      <c r="A179">
        <f t="shared" si="15"/>
        <v>1900</v>
      </c>
    </row>
    <row r="180" spans="1:1" x14ac:dyDescent="0.3">
      <c r="A180">
        <f t="shared" si="15"/>
        <v>1900</v>
      </c>
    </row>
    <row r="181" spans="1:1" x14ac:dyDescent="0.3">
      <c r="A181">
        <f t="shared" si="15"/>
        <v>1900</v>
      </c>
    </row>
    <row r="182" spans="1:1" x14ac:dyDescent="0.3">
      <c r="A182">
        <f t="shared" si="15"/>
        <v>1900</v>
      </c>
    </row>
    <row r="183" spans="1:1" x14ac:dyDescent="0.3">
      <c r="A183">
        <f t="shared" si="15"/>
        <v>1900</v>
      </c>
    </row>
    <row r="184" spans="1:1" x14ac:dyDescent="0.3">
      <c r="A184">
        <f t="shared" si="15"/>
        <v>1900</v>
      </c>
    </row>
    <row r="185" spans="1:1" x14ac:dyDescent="0.3">
      <c r="A185">
        <f t="shared" si="15"/>
        <v>1900</v>
      </c>
    </row>
    <row r="186" spans="1:1" x14ac:dyDescent="0.3">
      <c r="A186">
        <f t="shared" si="15"/>
        <v>1900</v>
      </c>
    </row>
    <row r="187" spans="1:1" x14ac:dyDescent="0.3">
      <c r="A187">
        <f t="shared" si="15"/>
        <v>1900</v>
      </c>
    </row>
    <row r="188" spans="1:1" x14ac:dyDescent="0.3">
      <c r="A188">
        <f t="shared" si="15"/>
        <v>1900</v>
      </c>
    </row>
    <row r="189" spans="1:1" x14ac:dyDescent="0.3">
      <c r="A189">
        <f t="shared" si="15"/>
        <v>1900</v>
      </c>
    </row>
    <row r="190" spans="1:1" x14ac:dyDescent="0.3">
      <c r="A190">
        <f t="shared" si="15"/>
        <v>1900</v>
      </c>
    </row>
    <row r="191" spans="1:1" x14ac:dyDescent="0.3">
      <c r="A191">
        <f t="shared" si="15"/>
        <v>1900</v>
      </c>
    </row>
    <row r="192" spans="1:1" x14ac:dyDescent="0.3">
      <c r="A192">
        <f t="shared" si="15"/>
        <v>1900</v>
      </c>
    </row>
    <row r="193" spans="1:1" x14ac:dyDescent="0.3">
      <c r="A193">
        <f t="shared" si="15"/>
        <v>1900</v>
      </c>
    </row>
    <row r="194" spans="1:1" x14ac:dyDescent="0.3">
      <c r="A194">
        <f t="shared" si="15"/>
        <v>1900</v>
      </c>
    </row>
    <row r="195" spans="1:1" x14ac:dyDescent="0.3">
      <c r="A195">
        <f t="shared" si="15"/>
        <v>1900</v>
      </c>
    </row>
    <row r="196" spans="1:1" x14ac:dyDescent="0.3">
      <c r="A196">
        <f t="shared" si="15"/>
        <v>1900</v>
      </c>
    </row>
    <row r="197" spans="1:1" x14ac:dyDescent="0.3">
      <c r="A197">
        <f t="shared" si="15"/>
        <v>1900</v>
      </c>
    </row>
    <row r="198" spans="1:1" x14ac:dyDescent="0.3">
      <c r="A198">
        <f t="shared" si="15"/>
        <v>1900</v>
      </c>
    </row>
    <row r="199" spans="1:1" x14ac:dyDescent="0.3">
      <c r="A199">
        <f t="shared" si="15"/>
        <v>1900</v>
      </c>
    </row>
    <row r="200" spans="1:1" x14ac:dyDescent="0.3">
      <c r="A200">
        <f t="shared" si="15"/>
        <v>1900</v>
      </c>
    </row>
    <row r="201" spans="1:1" x14ac:dyDescent="0.3">
      <c r="A201">
        <f t="shared" si="15"/>
        <v>1900</v>
      </c>
    </row>
    <row r="202" spans="1:1" x14ac:dyDescent="0.3">
      <c r="A202">
        <f t="shared" si="15"/>
        <v>1900</v>
      </c>
    </row>
    <row r="203" spans="1:1" x14ac:dyDescent="0.3">
      <c r="A203">
        <f t="shared" ref="A203:A266" si="16">YEAR(B203)</f>
        <v>1900</v>
      </c>
    </row>
    <row r="204" spans="1:1" x14ac:dyDescent="0.3">
      <c r="A204">
        <f t="shared" si="16"/>
        <v>1900</v>
      </c>
    </row>
    <row r="205" spans="1:1" x14ac:dyDescent="0.3">
      <c r="A205">
        <f t="shared" si="16"/>
        <v>1900</v>
      </c>
    </row>
    <row r="206" spans="1:1" x14ac:dyDescent="0.3">
      <c r="A206">
        <f t="shared" si="16"/>
        <v>1900</v>
      </c>
    </row>
    <row r="207" spans="1:1" x14ac:dyDescent="0.3">
      <c r="A207">
        <f t="shared" si="16"/>
        <v>1900</v>
      </c>
    </row>
    <row r="208" spans="1:1" x14ac:dyDescent="0.3">
      <c r="A208">
        <f t="shared" si="16"/>
        <v>1900</v>
      </c>
    </row>
    <row r="209" spans="1:1" x14ac:dyDescent="0.3">
      <c r="A209">
        <f t="shared" si="16"/>
        <v>1900</v>
      </c>
    </row>
    <row r="210" spans="1:1" x14ac:dyDescent="0.3">
      <c r="A210">
        <f t="shared" si="16"/>
        <v>1900</v>
      </c>
    </row>
    <row r="211" spans="1:1" x14ac:dyDescent="0.3">
      <c r="A211">
        <f t="shared" si="16"/>
        <v>1900</v>
      </c>
    </row>
    <row r="212" spans="1:1" x14ac:dyDescent="0.3">
      <c r="A212">
        <f t="shared" si="16"/>
        <v>1900</v>
      </c>
    </row>
    <row r="213" spans="1:1" x14ac:dyDescent="0.3">
      <c r="A213">
        <f t="shared" si="16"/>
        <v>1900</v>
      </c>
    </row>
    <row r="214" spans="1:1" x14ac:dyDescent="0.3">
      <c r="A214">
        <f t="shared" si="16"/>
        <v>1900</v>
      </c>
    </row>
    <row r="215" spans="1:1" x14ac:dyDescent="0.3">
      <c r="A215">
        <f t="shared" si="16"/>
        <v>1900</v>
      </c>
    </row>
    <row r="216" spans="1:1" x14ac:dyDescent="0.3">
      <c r="A216">
        <f t="shared" si="16"/>
        <v>1900</v>
      </c>
    </row>
    <row r="217" spans="1:1" x14ac:dyDescent="0.3">
      <c r="A217">
        <f t="shared" si="16"/>
        <v>1900</v>
      </c>
    </row>
    <row r="218" spans="1:1" x14ac:dyDescent="0.3">
      <c r="A218">
        <f t="shared" si="16"/>
        <v>1900</v>
      </c>
    </row>
    <row r="219" spans="1:1" x14ac:dyDescent="0.3">
      <c r="A219">
        <f t="shared" si="16"/>
        <v>1900</v>
      </c>
    </row>
    <row r="220" spans="1:1" x14ac:dyDescent="0.3">
      <c r="A220">
        <f t="shared" si="16"/>
        <v>1900</v>
      </c>
    </row>
    <row r="221" spans="1:1" x14ac:dyDescent="0.3">
      <c r="A221">
        <f t="shared" si="16"/>
        <v>1900</v>
      </c>
    </row>
    <row r="222" spans="1:1" x14ac:dyDescent="0.3">
      <c r="A222">
        <f t="shared" si="16"/>
        <v>1900</v>
      </c>
    </row>
    <row r="223" spans="1:1" x14ac:dyDescent="0.3">
      <c r="A223">
        <f t="shared" si="16"/>
        <v>1900</v>
      </c>
    </row>
    <row r="224" spans="1:1" x14ac:dyDescent="0.3">
      <c r="A224">
        <f t="shared" si="16"/>
        <v>1900</v>
      </c>
    </row>
    <row r="225" spans="1:1" x14ac:dyDescent="0.3">
      <c r="A225">
        <f t="shared" si="16"/>
        <v>1900</v>
      </c>
    </row>
    <row r="226" spans="1:1" x14ac:dyDescent="0.3">
      <c r="A226">
        <f t="shared" si="16"/>
        <v>1900</v>
      </c>
    </row>
    <row r="227" spans="1:1" x14ac:dyDescent="0.3">
      <c r="A227">
        <f t="shared" si="16"/>
        <v>1900</v>
      </c>
    </row>
    <row r="228" spans="1:1" x14ac:dyDescent="0.3">
      <c r="A228">
        <f t="shared" si="16"/>
        <v>1900</v>
      </c>
    </row>
    <row r="229" spans="1:1" x14ac:dyDescent="0.3">
      <c r="A229">
        <f t="shared" si="16"/>
        <v>1900</v>
      </c>
    </row>
    <row r="230" spans="1:1" x14ac:dyDescent="0.3">
      <c r="A230">
        <f t="shared" si="16"/>
        <v>1900</v>
      </c>
    </row>
    <row r="231" spans="1:1" x14ac:dyDescent="0.3">
      <c r="A231">
        <f t="shared" si="16"/>
        <v>1900</v>
      </c>
    </row>
    <row r="232" spans="1:1" x14ac:dyDescent="0.3">
      <c r="A232">
        <f t="shared" si="16"/>
        <v>1900</v>
      </c>
    </row>
    <row r="233" spans="1:1" x14ac:dyDescent="0.3">
      <c r="A233">
        <f t="shared" si="16"/>
        <v>1900</v>
      </c>
    </row>
    <row r="234" spans="1:1" x14ac:dyDescent="0.3">
      <c r="A234">
        <f t="shared" si="16"/>
        <v>1900</v>
      </c>
    </row>
    <row r="235" spans="1:1" x14ac:dyDescent="0.3">
      <c r="A235">
        <f t="shared" si="16"/>
        <v>1900</v>
      </c>
    </row>
    <row r="236" spans="1:1" x14ac:dyDescent="0.3">
      <c r="A236">
        <f t="shared" si="16"/>
        <v>1900</v>
      </c>
    </row>
    <row r="237" spans="1:1" x14ac:dyDescent="0.3">
      <c r="A237">
        <f t="shared" si="16"/>
        <v>1900</v>
      </c>
    </row>
    <row r="238" spans="1:1" x14ac:dyDescent="0.3">
      <c r="A238">
        <f t="shared" si="16"/>
        <v>1900</v>
      </c>
    </row>
    <row r="239" spans="1:1" x14ac:dyDescent="0.3">
      <c r="A239">
        <f t="shared" si="16"/>
        <v>1900</v>
      </c>
    </row>
    <row r="240" spans="1:1" x14ac:dyDescent="0.3">
      <c r="A240">
        <f t="shared" si="16"/>
        <v>1900</v>
      </c>
    </row>
    <row r="241" spans="1:1" x14ac:dyDescent="0.3">
      <c r="A241">
        <f t="shared" si="16"/>
        <v>1900</v>
      </c>
    </row>
    <row r="242" spans="1:1" x14ac:dyDescent="0.3">
      <c r="A242">
        <f t="shared" si="16"/>
        <v>1900</v>
      </c>
    </row>
    <row r="243" spans="1:1" x14ac:dyDescent="0.3">
      <c r="A243">
        <f t="shared" si="16"/>
        <v>1900</v>
      </c>
    </row>
    <row r="244" spans="1:1" x14ac:dyDescent="0.3">
      <c r="A244">
        <f t="shared" si="16"/>
        <v>1900</v>
      </c>
    </row>
    <row r="245" spans="1:1" x14ac:dyDescent="0.3">
      <c r="A245">
        <f t="shared" si="16"/>
        <v>1900</v>
      </c>
    </row>
    <row r="246" spans="1:1" x14ac:dyDescent="0.3">
      <c r="A246">
        <f t="shared" si="16"/>
        <v>1900</v>
      </c>
    </row>
    <row r="247" spans="1:1" x14ac:dyDescent="0.3">
      <c r="A247">
        <f t="shared" si="16"/>
        <v>1900</v>
      </c>
    </row>
    <row r="248" spans="1:1" x14ac:dyDescent="0.3">
      <c r="A248">
        <f t="shared" si="16"/>
        <v>1900</v>
      </c>
    </row>
    <row r="249" spans="1:1" x14ac:dyDescent="0.3">
      <c r="A249">
        <f t="shared" si="16"/>
        <v>1900</v>
      </c>
    </row>
    <row r="250" spans="1:1" x14ac:dyDescent="0.3">
      <c r="A250">
        <f t="shared" si="16"/>
        <v>1900</v>
      </c>
    </row>
    <row r="251" spans="1:1" x14ac:dyDescent="0.3">
      <c r="A251">
        <f t="shared" si="16"/>
        <v>1900</v>
      </c>
    </row>
    <row r="252" spans="1:1" x14ac:dyDescent="0.3">
      <c r="A252">
        <f t="shared" si="16"/>
        <v>1900</v>
      </c>
    </row>
    <row r="253" spans="1:1" x14ac:dyDescent="0.3">
      <c r="A253">
        <f t="shared" si="16"/>
        <v>1900</v>
      </c>
    </row>
    <row r="254" spans="1:1" x14ac:dyDescent="0.3">
      <c r="A254">
        <f t="shared" si="16"/>
        <v>1900</v>
      </c>
    </row>
    <row r="255" spans="1:1" x14ac:dyDescent="0.3">
      <c r="A255">
        <f t="shared" si="16"/>
        <v>1900</v>
      </c>
    </row>
    <row r="256" spans="1:1" x14ac:dyDescent="0.3">
      <c r="A256">
        <f t="shared" si="16"/>
        <v>1900</v>
      </c>
    </row>
    <row r="257" spans="1:1" x14ac:dyDescent="0.3">
      <c r="A257">
        <f t="shared" si="16"/>
        <v>1900</v>
      </c>
    </row>
    <row r="258" spans="1:1" x14ac:dyDescent="0.3">
      <c r="A258">
        <f t="shared" si="16"/>
        <v>1900</v>
      </c>
    </row>
    <row r="259" spans="1:1" x14ac:dyDescent="0.3">
      <c r="A259">
        <f t="shared" si="16"/>
        <v>1900</v>
      </c>
    </row>
    <row r="260" spans="1:1" x14ac:dyDescent="0.3">
      <c r="A260">
        <f t="shared" si="16"/>
        <v>1900</v>
      </c>
    </row>
    <row r="261" spans="1:1" x14ac:dyDescent="0.3">
      <c r="A261">
        <f t="shared" si="16"/>
        <v>1900</v>
      </c>
    </row>
    <row r="262" spans="1:1" x14ac:dyDescent="0.3">
      <c r="A262">
        <f t="shared" si="16"/>
        <v>1900</v>
      </c>
    </row>
    <row r="263" spans="1:1" x14ac:dyDescent="0.3">
      <c r="A263">
        <f t="shared" si="16"/>
        <v>1900</v>
      </c>
    </row>
    <row r="264" spans="1:1" x14ac:dyDescent="0.3">
      <c r="A264">
        <f t="shared" si="16"/>
        <v>1900</v>
      </c>
    </row>
    <row r="265" spans="1:1" x14ac:dyDescent="0.3">
      <c r="A265">
        <f t="shared" si="16"/>
        <v>1900</v>
      </c>
    </row>
    <row r="266" spans="1:1" x14ac:dyDescent="0.3">
      <c r="A266">
        <f t="shared" si="16"/>
        <v>1900</v>
      </c>
    </row>
    <row r="267" spans="1:1" x14ac:dyDescent="0.3">
      <c r="A267">
        <f t="shared" ref="A267:A330" si="17">YEAR(B267)</f>
        <v>1900</v>
      </c>
    </row>
    <row r="268" spans="1:1" x14ac:dyDescent="0.3">
      <c r="A268">
        <f t="shared" si="17"/>
        <v>1900</v>
      </c>
    </row>
    <row r="269" spans="1:1" x14ac:dyDescent="0.3">
      <c r="A269">
        <f t="shared" si="17"/>
        <v>1900</v>
      </c>
    </row>
    <row r="270" spans="1:1" x14ac:dyDescent="0.3">
      <c r="A270">
        <f t="shared" si="17"/>
        <v>1900</v>
      </c>
    </row>
    <row r="271" spans="1:1" x14ac:dyDescent="0.3">
      <c r="A271">
        <f t="shared" si="17"/>
        <v>1900</v>
      </c>
    </row>
    <row r="272" spans="1:1" x14ac:dyDescent="0.3">
      <c r="A272">
        <f t="shared" si="17"/>
        <v>1900</v>
      </c>
    </row>
    <row r="273" spans="1:1" x14ac:dyDescent="0.3">
      <c r="A273">
        <f t="shared" si="17"/>
        <v>1900</v>
      </c>
    </row>
    <row r="274" spans="1:1" x14ac:dyDescent="0.3">
      <c r="A274">
        <f t="shared" si="17"/>
        <v>1900</v>
      </c>
    </row>
    <row r="275" spans="1:1" x14ac:dyDescent="0.3">
      <c r="A275">
        <f t="shared" si="17"/>
        <v>1900</v>
      </c>
    </row>
    <row r="276" spans="1:1" x14ac:dyDescent="0.3">
      <c r="A276">
        <f t="shared" si="17"/>
        <v>1900</v>
      </c>
    </row>
    <row r="277" spans="1:1" x14ac:dyDescent="0.3">
      <c r="A277">
        <f t="shared" si="17"/>
        <v>1900</v>
      </c>
    </row>
    <row r="278" spans="1:1" x14ac:dyDescent="0.3">
      <c r="A278">
        <f t="shared" si="17"/>
        <v>1900</v>
      </c>
    </row>
    <row r="279" spans="1:1" x14ac:dyDescent="0.3">
      <c r="A279">
        <f t="shared" si="17"/>
        <v>1900</v>
      </c>
    </row>
    <row r="280" spans="1:1" x14ac:dyDescent="0.3">
      <c r="A280">
        <f t="shared" si="17"/>
        <v>1900</v>
      </c>
    </row>
    <row r="281" spans="1:1" x14ac:dyDescent="0.3">
      <c r="A281">
        <f t="shared" si="17"/>
        <v>1900</v>
      </c>
    </row>
    <row r="282" spans="1:1" x14ac:dyDescent="0.3">
      <c r="A282">
        <f t="shared" si="17"/>
        <v>1900</v>
      </c>
    </row>
    <row r="283" spans="1:1" x14ac:dyDescent="0.3">
      <c r="A283">
        <f t="shared" si="17"/>
        <v>1900</v>
      </c>
    </row>
    <row r="284" spans="1:1" x14ac:dyDescent="0.3">
      <c r="A284">
        <f t="shared" si="17"/>
        <v>1900</v>
      </c>
    </row>
    <row r="285" spans="1:1" x14ac:dyDescent="0.3">
      <c r="A285">
        <f t="shared" si="17"/>
        <v>1900</v>
      </c>
    </row>
    <row r="286" spans="1:1" x14ac:dyDescent="0.3">
      <c r="A286">
        <f t="shared" si="17"/>
        <v>1900</v>
      </c>
    </row>
    <row r="287" spans="1:1" x14ac:dyDescent="0.3">
      <c r="A287">
        <f t="shared" si="17"/>
        <v>1900</v>
      </c>
    </row>
    <row r="288" spans="1:1" x14ac:dyDescent="0.3">
      <c r="A288">
        <f t="shared" si="17"/>
        <v>1900</v>
      </c>
    </row>
    <row r="289" spans="1:1" x14ac:dyDescent="0.3">
      <c r="A289">
        <f t="shared" si="17"/>
        <v>1900</v>
      </c>
    </row>
    <row r="290" spans="1:1" x14ac:dyDescent="0.3">
      <c r="A290">
        <f t="shared" si="17"/>
        <v>1900</v>
      </c>
    </row>
    <row r="291" spans="1:1" x14ac:dyDescent="0.3">
      <c r="A291">
        <f t="shared" si="17"/>
        <v>1900</v>
      </c>
    </row>
    <row r="292" spans="1:1" x14ac:dyDescent="0.3">
      <c r="A292">
        <f t="shared" si="17"/>
        <v>1900</v>
      </c>
    </row>
    <row r="293" spans="1:1" x14ac:dyDescent="0.3">
      <c r="A293">
        <f t="shared" si="17"/>
        <v>1900</v>
      </c>
    </row>
    <row r="294" spans="1:1" x14ac:dyDescent="0.3">
      <c r="A294">
        <f t="shared" si="17"/>
        <v>1900</v>
      </c>
    </row>
    <row r="295" spans="1:1" x14ac:dyDescent="0.3">
      <c r="A295">
        <f t="shared" si="17"/>
        <v>1900</v>
      </c>
    </row>
    <row r="296" spans="1:1" x14ac:dyDescent="0.3">
      <c r="A296">
        <f t="shared" si="17"/>
        <v>1900</v>
      </c>
    </row>
    <row r="297" spans="1:1" x14ac:dyDescent="0.3">
      <c r="A297">
        <f t="shared" si="17"/>
        <v>1900</v>
      </c>
    </row>
    <row r="298" spans="1:1" x14ac:dyDescent="0.3">
      <c r="A298">
        <f t="shared" si="17"/>
        <v>1900</v>
      </c>
    </row>
    <row r="299" spans="1:1" x14ac:dyDescent="0.3">
      <c r="A299">
        <f t="shared" si="17"/>
        <v>1900</v>
      </c>
    </row>
    <row r="300" spans="1:1" x14ac:dyDescent="0.3">
      <c r="A300">
        <f t="shared" si="17"/>
        <v>1900</v>
      </c>
    </row>
    <row r="301" spans="1:1" x14ac:dyDescent="0.3">
      <c r="A301">
        <f t="shared" si="17"/>
        <v>1900</v>
      </c>
    </row>
    <row r="302" spans="1:1" x14ac:dyDescent="0.3">
      <c r="A302">
        <f t="shared" si="17"/>
        <v>1900</v>
      </c>
    </row>
    <row r="303" spans="1:1" x14ac:dyDescent="0.3">
      <c r="A303">
        <f t="shared" si="17"/>
        <v>1900</v>
      </c>
    </row>
    <row r="304" spans="1:1" x14ac:dyDescent="0.3">
      <c r="A304">
        <f t="shared" si="17"/>
        <v>1900</v>
      </c>
    </row>
    <row r="305" spans="1:1" x14ac:dyDescent="0.3">
      <c r="A305">
        <f t="shared" si="17"/>
        <v>1900</v>
      </c>
    </row>
    <row r="306" spans="1:1" x14ac:dyDescent="0.3">
      <c r="A306">
        <f t="shared" si="17"/>
        <v>1900</v>
      </c>
    </row>
    <row r="307" spans="1:1" x14ac:dyDescent="0.3">
      <c r="A307">
        <f t="shared" si="17"/>
        <v>1900</v>
      </c>
    </row>
    <row r="308" spans="1:1" x14ac:dyDescent="0.3">
      <c r="A308">
        <f t="shared" si="17"/>
        <v>1900</v>
      </c>
    </row>
    <row r="309" spans="1:1" x14ac:dyDescent="0.3">
      <c r="A309">
        <f t="shared" si="17"/>
        <v>1900</v>
      </c>
    </row>
    <row r="310" spans="1:1" x14ac:dyDescent="0.3">
      <c r="A310">
        <f t="shared" si="17"/>
        <v>1900</v>
      </c>
    </row>
    <row r="311" spans="1:1" x14ac:dyDescent="0.3">
      <c r="A311">
        <f t="shared" si="17"/>
        <v>1900</v>
      </c>
    </row>
    <row r="312" spans="1:1" x14ac:dyDescent="0.3">
      <c r="A312">
        <f t="shared" si="17"/>
        <v>1900</v>
      </c>
    </row>
    <row r="313" spans="1:1" x14ac:dyDescent="0.3">
      <c r="A313">
        <f t="shared" si="17"/>
        <v>1900</v>
      </c>
    </row>
    <row r="314" spans="1:1" x14ac:dyDescent="0.3">
      <c r="A314">
        <f t="shared" si="17"/>
        <v>1900</v>
      </c>
    </row>
    <row r="315" spans="1:1" x14ac:dyDescent="0.3">
      <c r="A315">
        <f t="shared" si="17"/>
        <v>1900</v>
      </c>
    </row>
    <row r="316" spans="1:1" x14ac:dyDescent="0.3">
      <c r="A316">
        <f t="shared" si="17"/>
        <v>1900</v>
      </c>
    </row>
    <row r="317" spans="1:1" x14ac:dyDescent="0.3">
      <c r="A317">
        <f t="shared" si="17"/>
        <v>1900</v>
      </c>
    </row>
    <row r="318" spans="1:1" x14ac:dyDescent="0.3">
      <c r="A318">
        <f t="shared" si="17"/>
        <v>1900</v>
      </c>
    </row>
    <row r="319" spans="1:1" x14ac:dyDescent="0.3">
      <c r="A319">
        <f t="shared" si="17"/>
        <v>1900</v>
      </c>
    </row>
    <row r="320" spans="1:1" x14ac:dyDescent="0.3">
      <c r="A320">
        <f t="shared" si="17"/>
        <v>1900</v>
      </c>
    </row>
    <row r="321" spans="1:1" x14ac:dyDescent="0.3">
      <c r="A321">
        <f t="shared" si="17"/>
        <v>1900</v>
      </c>
    </row>
    <row r="322" spans="1:1" x14ac:dyDescent="0.3">
      <c r="A322">
        <f t="shared" si="17"/>
        <v>1900</v>
      </c>
    </row>
    <row r="323" spans="1:1" x14ac:dyDescent="0.3">
      <c r="A323">
        <f t="shared" si="17"/>
        <v>1900</v>
      </c>
    </row>
    <row r="324" spans="1:1" x14ac:dyDescent="0.3">
      <c r="A324">
        <f t="shared" si="17"/>
        <v>1900</v>
      </c>
    </row>
    <row r="325" spans="1:1" x14ac:dyDescent="0.3">
      <c r="A325">
        <f t="shared" si="17"/>
        <v>1900</v>
      </c>
    </row>
    <row r="326" spans="1:1" x14ac:dyDescent="0.3">
      <c r="A326">
        <f t="shared" si="17"/>
        <v>1900</v>
      </c>
    </row>
    <row r="327" spans="1:1" x14ac:dyDescent="0.3">
      <c r="A327">
        <f t="shared" si="17"/>
        <v>1900</v>
      </c>
    </row>
    <row r="328" spans="1:1" x14ac:dyDescent="0.3">
      <c r="A328">
        <f t="shared" si="17"/>
        <v>1900</v>
      </c>
    </row>
    <row r="329" spans="1:1" x14ac:dyDescent="0.3">
      <c r="A329">
        <f t="shared" si="17"/>
        <v>1900</v>
      </c>
    </row>
    <row r="330" spans="1:1" x14ac:dyDescent="0.3">
      <c r="A330">
        <f t="shared" si="17"/>
        <v>1900</v>
      </c>
    </row>
    <row r="331" spans="1:1" x14ac:dyDescent="0.3">
      <c r="A331">
        <f t="shared" ref="A331:A394" si="18">YEAR(B331)</f>
        <v>1900</v>
      </c>
    </row>
    <row r="332" spans="1:1" x14ac:dyDescent="0.3">
      <c r="A332">
        <f t="shared" si="18"/>
        <v>1900</v>
      </c>
    </row>
    <row r="333" spans="1:1" x14ac:dyDescent="0.3">
      <c r="A333">
        <f t="shared" si="18"/>
        <v>1900</v>
      </c>
    </row>
    <row r="334" spans="1:1" x14ac:dyDescent="0.3">
      <c r="A334">
        <f t="shared" si="18"/>
        <v>1900</v>
      </c>
    </row>
    <row r="335" spans="1:1" x14ac:dyDescent="0.3">
      <c r="A335">
        <f t="shared" si="18"/>
        <v>1900</v>
      </c>
    </row>
    <row r="336" spans="1:1" x14ac:dyDescent="0.3">
      <c r="A336">
        <f t="shared" si="18"/>
        <v>1900</v>
      </c>
    </row>
    <row r="337" spans="1:1" x14ac:dyDescent="0.3">
      <c r="A337">
        <f t="shared" si="18"/>
        <v>1900</v>
      </c>
    </row>
    <row r="338" spans="1:1" x14ac:dyDescent="0.3">
      <c r="A338">
        <f t="shared" si="18"/>
        <v>1900</v>
      </c>
    </row>
    <row r="339" spans="1:1" x14ac:dyDescent="0.3">
      <c r="A339">
        <f t="shared" si="18"/>
        <v>1900</v>
      </c>
    </row>
    <row r="340" spans="1:1" x14ac:dyDescent="0.3">
      <c r="A340">
        <f t="shared" si="18"/>
        <v>1900</v>
      </c>
    </row>
    <row r="341" spans="1:1" x14ac:dyDescent="0.3">
      <c r="A341">
        <f t="shared" si="18"/>
        <v>1900</v>
      </c>
    </row>
    <row r="342" spans="1:1" x14ac:dyDescent="0.3">
      <c r="A342">
        <f t="shared" si="18"/>
        <v>1900</v>
      </c>
    </row>
    <row r="343" spans="1:1" x14ac:dyDescent="0.3">
      <c r="A343">
        <f t="shared" si="18"/>
        <v>1900</v>
      </c>
    </row>
    <row r="344" spans="1:1" x14ac:dyDescent="0.3">
      <c r="A344">
        <f t="shared" si="18"/>
        <v>1900</v>
      </c>
    </row>
    <row r="345" spans="1:1" x14ac:dyDescent="0.3">
      <c r="A345">
        <f t="shared" si="18"/>
        <v>1900</v>
      </c>
    </row>
    <row r="346" spans="1:1" x14ac:dyDescent="0.3">
      <c r="A346">
        <f t="shared" si="18"/>
        <v>1900</v>
      </c>
    </row>
    <row r="347" spans="1:1" x14ac:dyDescent="0.3">
      <c r="A347">
        <f t="shared" si="18"/>
        <v>1900</v>
      </c>
    </row>
    <row r="348" spans="1:1" x14ac:dyDescent="0.3">
      <c r="A348">
        <f t="shared" si="18"/>
        <v>1900</v>
      </c>
    </row>
    <row r="349" spans="1:1" x14ac:dyDescent="0.3">
      <c r="A349">
        <f t="shared" si="18"/>
        <v>1900</v>
      </c>
    </row>
    <row r="350" spans="1:1" x14ac:dyDescent="0.3">
      <c r="A350">
        <f t="shared" si="18"/>
        <v>1900</v>
      </c>
    </row>
    <row r="351" spans="1:1" x14ac:dyDescent="0.3">
      <c r="A351">
        <f t="shared" si="18"/>
        <v>1900</v>
      </c>
    </row>
    <row r="352" spans="1:1" x14ac:dyDescent="0.3">
      <c r="A352">
        <f t="shared" si="18"/>
        <v>1900</v>
      </c>
    </row>
    <row r="353" spans="1:1" x14ac:dyDescent="0.3">
      <c r="A353">
        <f t="shared" si="18"/>
        <v>1900</v>
      </c>
    </row>
    <row r="354" spans="1:1" x14ac:dyDescent="0.3">
      <c r="A354">
        <f t="shared" si="18"/>
        <v>1900</v>
      </c>
    </row>
    <row r="355" spans="1:1" x14ac:dyDescent="0.3">
      <c r="A355">
        <f t="shared" si="18"/>
        <v>1900</v>
      </c>
    </row>
    <row r="356" spans="1:1" x14ac:dyDescent="0.3">
      <c r="A356">
        <f t="shared" si="18"/>
        <v>1900</v>
      </c>
    </row>
    <row r="357" spans="1:1" x14ac:dyDescent="0.3">
      <c r="A357">
        <f t="shared" si="18"/>
        <v>1900</v>
      </c>
    </row>
    <row r="358" spans="1:1" x14ac:dyDescent="0.3">
      <c r="A358">
        <f t="shared" si="18"/>
        <v>1900</v>
      </c>
    </row>
    <row r="359" spans="1:1" x14ac:dyDescent="0.3">
      <c r="A359">
        <f t="shared" si="18"/>
        <v>1900</v>
      </c>
    </row>
    <row r="360" spans="1:1" x14ac:dyDescent="0.3">
      <c r="A360">
        <f t="shared" si="18"/>
        <v>1900</v>
      </c>
    </row>
    <row r="361" spans="1:1" x14ac:dyDescent="0.3">
      <c r="A361">
        <f t="shared" si="18"/>
        <v>1900</v>
      </c>
    </row>
    <row r="362" spans="1:1" x14ac:dyDescent="0.3">
      <c r="A362">
        <f t="shared" si="18"/>
        <v>1900</v>
      </c>
    </row>
    <row r="363" spans="1:1" x14ac:dyDescent="0.3">
      <c r="A363">
        <f t="shared" si="18"/>
        <v>1900</v>
      </c>
    </row>
    <row r="364" spans="1:1" x14ac:dyDescent="0.3">
      <c r="A364">
        <f t="shared" si="18"/>
        <v>1900</v>
      </c>
    </row>
    <row r="365" spans="1:1" x14ac:dyDescent="0.3">
      <c r="A365">
        <f t="shared" si="18"/>
        <v>1900</v>
      </c>
    </row>
    <row r="366" spans="1:1" x14ac:dyDescent="0.3">
      <c r="A366">
        <f t="shared" si="18"/>
        <v>1900</v>
      </c>
    </row>
    <row r="367" spans="1:1" x14ac:dyDescent="0.3">
      <c r="A367">
        <f t="shared" si="18"/>
        <v>1900</v>
      </c>
    </row>
    <row r="368" spans="1:1" x14ac:dyDescent="0.3">
      <c r="A368">
        <f t="shared" si="18"/>
        <v>1900</v>
      </c>
    </row>
    <row r="369" spans="1:1" x14ac:dyDescent="0.3">
      <c r="A369">
        <f t="shared" si="18"/>
        <v>1900</v>
      </c>
    </row>
    <row r="370" spans="1:1" x14ac:dyDescent="0.3">
      <c r="A370">
        <f t="shared" si="18"/>
        <v>1900</v>
      </c>
    </row>
    <row r="371" spans="1:1" x14ac:dyDescent="0.3">
      <c r="A371">
        <f t="shared" si="18"/>
        <v>1900</v>
      </c>
    </row>
    <row r="372" spans="1:1" x14ac:dyDescent="0.3">
      <c r="A372">
        <f t="shared" si="18"/>
        <v>1900</v>
      </c>
    </row>
    <row r="373" spans="1:1" x14ac:dyDescent="0.3">
      <c r="A373">
        <f t="shared" si="18"/>
        <v>1900</v>
      </c>
    </row>
    <row r="374" spans="1:1" x14ac:dyDescent="0.3">
      <c r="A374">
        <f t="shared" si="18"/>
        <v>1900</v>
      </c>
    </row>
    <row r="375" spans="1:1" x14ac:dyDescent="0.3">
      <c r="A375">
        <f t="shared" si="18"/>
        <v>1900</v>
      </c>
    </row>
    <row r="376" spans="1:1" x14ac:dyDescent="0.3">
      <c r="A376">
        <f t="shared" si="18"/>
        <v>1900</v>
      </c>
    </row>
    <row r="377" spans="1:1" x14ac:dyDescent="0.3">
      <c r="A377">
        <f t="shared" si="18"/>
        <v>1900</v>
      </c>
    </row>
    <row r="378" spans="1:1" x14ac:dyDescent="0.3">
      <c r="A378">
        <f t="shared" si="18"/>
        <v>1900</v>
      </c>
    </row>
    <row r="379" spans="1:1" x14ac:dyDescent="0.3">
      <c r="A379">
        <f t="shared" si="18"/>
        <v>1900</v>
      </c>
    </row>
    <row r="380" spans="1:1" x14ac:dyDescent="0.3">
      <c r="A380">
        <f t="shared" si="18"/>
        <v>1900</v>
      </c>
    </row>
    <row r="381" spans="1:1" x14ac:dyDescent="0.3">
      <c r="A381">
        <f t="shared" si="18"/>
        <v>1900</v>
      </c>
    </row>
    <row r="382" spans="1:1" x14ac:dyDescent="0.3">
      <c r="A382">
        <f t="shared" si="18"/>
        <v>1900</v>
      </c>
    </row>
    <row r="383" spans="1:1" x14ac:dyDescent="0.3">
      <c r="A383">
        <f t="shared" si="18"/>
        <v>1900</v>
      </c>
    </row>
    <row r="384" spans="1:1" x14ac:dyDescent="0.3">
      <c r="A384">
        <f t="shared" si="18"/>
        <v>1900</v>
      </c>
    </row>
    <row r="385" spans="1:1" x14ac:dyDescent="0.3">
      <c r="A385">
        <f t="shared" si="18"/>
        <v>1900</v>
      </c>
    </row>
    <row r="386" spans="1:1" x14ac:dyDescent="0.3">
      <c r="A386">
        <f t="shared" si="18"/>
        <v>1900</v>
      </c>
    </row>
    <row r="387" spans="1:1" x14ac:dyDescent="0.3">
      <c r="A387">
        <f t="shared" si="18"/>
        <v>1900</v>
      </c>
    </row>
    <row r="388" spans="1:1" x14ac:dyDescent="0.3">
      <c r="A388">
        <f t="shared" si="18"/>
        <v>1900</v>
      </c>
    </row>
    <row r="389" spans="1:1" x14ac:dyDescent="0.3">
      <c r="A389">
        <f t="shared" si="18"/>
        <v>1900</v>
      </c>
    </row>
    <row r="390" spans="1:1" x14ac:dyDescent="0.3">
      <c r="A390">
        <f t="shared" si="18"/>
        <v>1900</v>
      </c>
    </row>
    <row r="391" spans="1:1" x14ac:dyDescent="0.3">
      <c r="A391">
        <f t="shared" si="18"/>
        <v>1900</v>
      </c>
    </row>
    <row r="392" spans="1:1" x14ac:dyDescent="0.3">
      <c r="A392">
        <f t="shared" si="18"/>
        <v>1900</v>
      </c>
    </row>
    <row r="393" spans="1:1" x14ac:dyDescent="0.3">
      <c r="A393">
        <f t="shared" si="18"/>
        <v>1900</v>
      </c>
    </row>
    <row r="394" spans="1:1" x14ac:dyDescent="0.3">
      <c r="A394">
        <f t="shared" si="18"/>
        <v>1900</v>
      </c>
    </row>
    <row r="395" spans="1:1" x14ac:dyDescent="0.3">
      <c r="A395">
        <f t="shared" ref="A395:A458" si="19">YEAR(B395)</f>
        <v>1900</v>
      </c>
    </row>
    <row r="396" spans="1:1" x14ac:dyDescent="0.3">
      <c r="A396">
        <f t="shared" si="19"/>
        <v>1900</v>
      </c>
    </row>
    <row r="397" spans="1:1" x14ac:dyDescent="0.3">
      <c r="A397">
        <f t="shared" si="19"/>
        <v>1900</v>
      </c>
    </row>
    <row r="398" spans="1:1" x14ac:dyDescent="0.3">
      <c r="A398">
        <f t="shared" si="19"/>
        <v>1900</v>
      </c>
    </row>
    <row r="399" spans="1:1" x14ac:dyDescent="0.3">
      <c r="A399">
        <f t="shared" si="19"/>
        <v>1900</v>
      </c>
    </row>
    <row r="400" spans="1:1" x14ac:dyDescent="0.3">
      <c r="A400">
        <f t="shared" si="19"/>
        <v>1900</v>
      </c>
    </row>
    <row r="401" spans="1:1" x14ac:dyDescent="0.3">
      <c r="A401">
        <f t="shared" si="19"/>
        <v>1900</v>
      </c>
    </row>
    <row r="402" spans="1:1" x14ac:dyDescent="0.3">
      <c r="A402">
        <f t="shared" si="19"/>
        <v>1900</v>
      </c>
    </row>
    <row r="403" spans="1:1" x14ac:dyDescent="0.3">
      <c r="A403">
        <f t="shared" si="19"/>
        <v>1900</v>
      </c>
    </row>
    <row r="404" spans="1:1" x14ac:dyDescent="0.3">
      <c r="A404">
        <f t="shared" si="19"/>
        <v>1900</v>
      </c>
    </row>
    <row r="405" spans="1:1" x14ac:dyDescent="0.3">
      <c r="A405">
        <f t="shared" si="19"/>
        <v>1900</v>
      </c>
    </row>
    <row r="406" spans="1:1" x14ac:dyDescent="0.3">
      <c r="A406">
        <f t="shared" si="19"/>
        <v>1900</v>
      </c>
    </row>
    <row r="407" spans="1:1" x14ac:dyDescent="0.3">
      <c r="A407">
        <f t="shared" si="19"/>
        <v>1900</v>
      </c>
    </row>
    <row r="408" spans="1:1" x14ac:dyDescent="0.3">
      <c r="A408">
        <f t="shared" si="19"/>
        <v>1900</v>
      </c>
    </row>
    <row r="409" spans="1:1" x14ac:dyDescent="0.3">
      <c r="A409">
        <f t="shared" si="19"/>
        <v>1900</v>
      </c>
    </row>
    <row r="410" spans="1:1" x14ac:dyDescent="0.3">
      <c r="A410">
        <f t="shared" si="19"/>
        <v>1900</v>
      </c>
    </row>
    <row r="411" spans="1:1" x14ac:dyDescent="0.3">
      <c r="A411">
        <f t="shared" si="19"/>
        <v>1900</v>
      </c>
    </row>
    <row r="412" spans="1:1" x14ac:dyDescent="0.3">
      <c r="A412">
        <f t="shared" si="19"/>
        <v>1900</v>
      </c>
    </row>
    <row r="413" spans="1:1" x14ac:dyDescent="0.3">
      <c r="A413">
        <f t="shared" si="19"/>
        <v>1900</v>
      </c>
    </row>
    <row r="414" spans="1:1" x14ac:dyDescent="0.3">
      <c r="A414">
        <f t="shared" si="19"/>
        <v>1900</v>
      </c>
    </row>
    <row r="415" spans="1:1" x14ac:dyDescent="0.3">
      <c r="A415">
        <f t="shared" si="19"/>
        <v>1900</v>
      </c>
    </row>
    <row r="416" spans="1:1" x14ac:dyDescent="0.3">
      <c r="A416">
        <f t="shared" si="19"/>
        <v>1900</v>
      </c>
    </row>
    <row r="417" spans="1:1" x14ac:dyDescent="0.3">
      <c r="A417">
        <f t="shared" si="19"/>
        <v>1900</v>
      </c>
    </row>
    <row r="418" spans="1:1" x14ac:dyDescent="0.3">
      <c r="A418">
        <f t="shared" si="19"/>
        <v>1900</v>
      </c>
    </row>
    <row r="419" spans="1:1" x14ac:dyDescent="0.3">
      <c r="A419">
        <f t="shared" si="19"/>
        <v>1900</v>
      </c>
    </row>
    <row r="420" spans="1:1" x14ac:dyDescent="0.3">
      <c r="A420">
        <f t="shared" si="19"/>
        <v>1900</v>
      </c>
    </row>
    <row r="421" spans="1:1" x14ac:dyDescent="0.3">
      <c r="A421">
        <f t="shared" si="19"/>
        <v>1900</v>
      </c>
    </row>
    <row r="422" spans="1:1" x14ac:dyDescent="0.3">
      <c r="A422">
        <f t="shared" si="19"/>
        <v>1900</v>
      </c>
    </row>
    <row r="423" spans="1:1" x14ac:dyDescent="0.3">
      <c r="A423">
        <f t="shared" si="19"/>
        <v>1900</v>
      </c>
    </row>
    <row r="424" spans="1:1" x14ac:dyDescent="0.3">
      <c r="A424">
        <f t="shared" si="19"/>
        <v>1900</v>
      </c>
    </row>
    <row r="425" spans="1:1" x14ac:dyDescent="0.3">
      <c r="A425">
        <f t="shared" si="19"/>
        <v>1900</v>
      </c>
    </row>
    <row r="426" spans="1:1" x14ac:dyDescent="0.3">
      <c r="A426">
        <f t="shared" si="19"/>
        <v>1900</v>
      </c>
    </row>
    <row r="427" spans="1:1" x14ac:dyDescent="0.3">
      <c r="A427">
        <f t="shared" si="19"/>
        <v>1900</v>
      </c>
    </row>
    <row r="428" spans="1:1" x14ac:dyDescent="0.3">
      <c r="A428">
        <f t="shared" si="19"/>
        <v>1900</v>
      </c>
    </row>
    <row r="429" spans="1:1" x14ac:dyDescent="0.3">
      <c r="A429">
        <f t="shared" si="19"/>
        <v>1900</v>
      </c>
    </row>
    <row r="430" spans="1:1" x14ac:dyDescent="0.3">
      <c r="A430">
        <f t="shared" si="19"/>
        <v>1900</v>
      </c>
    </row>
    <row r="431" spans="1:1" x14ac:dyDescent="0.3">
      <c r="A431">
        <f t="shared" si="19"/>
        <v>1900</v>
      </c>
    </row>
    <row r="432" spans="1:1" x14ac:dyDescent="0.3">
      <c r="A432">
        <f t="shared" si="19"/>
        <v>1900</v>
      </c>
    </row>
    <row r="433" spans="1:1" x14ac:dyDescent="0.3">
      <c r="A433">
        <f t="shared" si="19"/>
        <v>1900</v>
      </c>
    </row>
    <row r="434" spans="1:1" x14ac:dyDescent="0.3">
      <c r="A434">
        <f t="shared" si="19"/>
        <v>1900</v>
      </c>
    </row>
    <row r="435" spans="1:1" x14ac:dyDescent="0.3">
      <c r="A435">
        <f t="shared" si="19"/>
        <v>1900</v>
      </c>
    </row>
    <row r="436" spans="1:1" x14ac:dyDescent="0.3">
      <c r="A436">
        <f t="shared" si="19"/>
        <v>1900</v>
      </c>
    </row>
    <row r="437" spans="1:1" x14ac:dyDescent="0.3">
      <c r="A437">
        <f t="shared" si="19"/>
        <v>1900</v>
      </c>
    </row>
    <row r="438" spans="1:1" x14ac:dyDescent="0.3">
      <c r="A438">
        <f t="shared" si="19"/>
        <v>1900</v>
      </c>
    </row>
    <row r="439" spans="1:1" x14ac:dyDescent="0.3">
      <c r="A439">
        <f t="shared" si="19"/>
        <v>1900</v>
      </c>
    </row>
    <row r="440" spans="1:1" x14ac:dyDescent="0.3">
      <c r="A440">
        <f t="shared" si="19"/>
        <v>1900</v>
      </c>
    </row>
    <row r="441" spans="1:1" x14ac:dyDescent="0.3">
      <c r="A441">
        <f t="shared" si="19"/>
        <v>1900</v>
      </c>
    </row>
    <row r="442" spans="1:1" x14ac:dyDescent="0.3">
      <c r="A442">
        <f t="shared" si="19"/>
        <v>1900</v>
      </c>
    </row>
    <row r="443" spans="1:1" x14ac:dyDescent="0.3">
      <c r="A443">
        <f t="shared" si="19"/>
        <v>1900</v>
      </c>
    </row>
    <row r="444" spans="1:1" x14ac:dyDescent="0.3">
      <c r="A444">
        <f t="shared" si="19"/>
        <v>1900</v>
      </c>
    </row>
    <row r="445" spans="1:1" x14ac:dyDescent="0.3">
      <c r="A445">
        <f t="shared" si="19"/>
        <v>1900</v>
      </c>
    </row>
    <row r="446" spans="1:1" x14ac:dyDescent="0.3">
      <c r="A446">
        <f t="shared" si="19"/>
        <v>1900</v>
      </c>
    </row>
    <row r="447" spans="1:1" x14ac:dyDescent="0.3">
      <c r="A447">
        <f t="shared" si="19"/>
        <v>1900</v>
      </c>
    </row>
    <row r="448" spans="1:1" x14ac:dyDescent="0.3">
      <c r="A448">
        <f t="shared" si="19"/>
        <v>1900</v>
      </c>
    </row>
    <row r="449" spans="1:1" x14ac:dyDescent="0.3">
      <c r="A449">
        <f t="shared" si="19"/>
        <v>1900</v>
      </c>
    </row>
    <row r="450" spans="1:1" x14ac:dyDescent="0.3">
      <c r="A450">
        <f t="shared" si="19"/>
        <v>1900</v>
      </c>
    </row>
    <row r="451" spans="1:1" x14ac:dyDescent="0.3">
      <c r="A451">
        <f t="shared" si="19"/>
        <v>1900</v>
      </c>
    </row>
    <row r="452" spans="1:1" x14ac:dyDescent="0.3">
      <c r="A452">
        <f t="shared" si="19"/>
        <v>1900</v>
      </c>
    </row>
    <row r="453" spans="1:1" x14ac:dyDescent="0.3">
      <c r="A453">
        <f t="shared" si="19"/>
        <v>1900</v>
      </c>
    </row>
    <row r="454" spans="1:1" x14ac:dyDescent="0.3">
      <c r="A454">
        <f t="shared" si="19"/>
        <v>1900</v>
      </c>
    </row>
    <row r="455" spans="1:1" x14ac:dyDescent="0.3">
      <c r="A455">
        <f t="shared" si="19"/>
        <v>1900</v>
      </c>
    </row>
    <row r="456" spans="1:1" x14ac:dyDescent="0.3">
      <c r="A456">
        <f t="shared" si="19"/>
        <v>1900</v>
      </c>
    </row>
    <row r="457" spans="1:1" x14ac:dyDescent="0.3">
      <c r="A457">
        <f t="shared" si="19"/>
        <v>1900</v>
      </c>
    </row>
    <row r="458" spans="1:1" x14ac:dyDescent="0.3">
      <c r="A458">
        <f t="shared" si="19"/>
        <v>1900</v>
      </c>
    </row>
    <row r="459" spans="1:1" x14ac:dyDescent="0.3">
      <c r="A459">
        <f t="shared" ref="A459:A510" si="20">YEAR(B459)</f>
        <v>1900</v>
      </c>
    </row>
    <row r="460" spans="1:1" x14ac:dyDescent="0.3">
      <c r="A460">
        <f t="shared" si="20"/>
        <v>1900</v>
      </c>
    </row>
    <row r="461" spans="1:1" x14ac:dyDescent="0.3">
      <c r="A461">
        <f t="shared" si="20"/>
        <v>1900</v>
      </c>
    </row>
    <row r="462" spans="1:1" x14ac:dyDescent="0.3">
      <c r="A462">
        <f t="shared" si="20"/>
        <v>1900</v>
      </c>
    </row>
    <row r="463" spans="1:1" x14ac:dyDescent="0.3">
      <c r="A463">
        <f t="shared" si="20"/>
        <v>1900</v>
      </c>
    </row>
    <row r="464" spans="1:1" x14ac:dyDescent="0.3">
      <c r="A464">
        <f t="shared" si="20"/>
        <v>1900</v>
      </c>
    </row>
    <row r="465" spans="1:1" x14ac:dyDescent="0.3">
      <c r="A465">
        <f t="shared" si="20"/>
        <v>1900</v>
      </c>
    </row>
    <row r="466" spans="1:1" x14ac:dyDescent="0.3">
      <c r="A466">
        <f t="shared" si="20"/>
        <v>1900</v>
      </c>
    </row>
    <row r="467" spans="1:1" x14ac:dyDescent="0.3">
      <c r="A467">
        <f t="shared" si="20"/>
        <v>1900</v>
      </c>
    </row>
    <row r="468" spans="1:1" x14ac:dyDescent="0.3">
      <c r="A468">
        <f t="shared" si="20"/>
        <v>1900</v>
      </c>
    </row>
    <row r="469" spans="1:1" x14ac:dyDescent="0.3">
      <c r="A469">
        <f t="shared" si="20"/>
        <v>1900</v>
      </c>
    </row>
    <row r="470" spans="1:1" x14ac:dyDescent="0.3">
      <c r="A470">
        <f t="shared" si="20"/>
        <v>1900</v>
      </c>
    </row>
    <row r="471" spans="1:1" x14ac:dyDescent="0.3">
      <c r="A471">
        <f t="shared" si="20"/>
        <v>1900</v>
      </c>
    </row>
    <row r="472" spans="1:1" x14ac:dyDescent="0.3">
      <c r="A472">
        <f t="shared" si="20"/>
        <v>1900</v>
      </c>
    </row>
    <row r="473" spans="1:1" x14ac:dyDescent="0.3">
      <c r="A473">
        <f t="shared" si="20"/>
        <v>1900</v>
      </c>
    </row>
    <row r="474" spans="1:1" x14ac:dyDescent="0.3">
      <c r="A474">
        <f t="shared" si="20"/>
        <v>1900</v>
      </c>
    </row>
    <row r="475" spans="1:1" x14ac:dyDescent="0.3">
      <c r="A475">
        <f t="shared" si="20"/>
        <v>1900</v>
      </c>
    </row>
    <row r="476" spans="1:1" x14ac:dyDescent="0.3">
      <c r="A476">
        <f t="shared" si="20"/>
        <v>1900</v>
      </c>
    </row>
    <row r="477" spans="1:1" x14ac:dyDescent="0.3">
      <c r="A477">
        <f t="shared" si="20"/>
        <v>1900</v>
      </c>
    </row>
    <row r="478" spans="1:1" x14ac:dyDescent="0.3">
      <c r="A478">
        <f t="shared" si="20"/>
        <v>1900</v>
      </c>
    </row>
    <row r="479" spans="1:1" x14ac:dyDescent="0.3">
      <c r="A479">
        <f t="shared" si="20"/>
        <v>1900</v>
      </c>
    </row>
    <row r="480" spans="1:1" x14ac:dyDescent="0.3">
      <c r="A480">
        <f t="shared" si="20"/>
        <v>1900</v>
      </c>
    </row>
    <row r="481" spans="1:1" x14ac:dyDescent="0.3">
      <c r="A481">
        <f t="shared" si="20"/>
        <v>1900</v>
      </c>
    </row>
    <row r="482" spans="1:1" x14ac:dyDescent="0.3">
      <c r="A482">
        <f t="shared" si="20"/>
        <v>1900</v>
      </c>
    </row>
    <row r="483" spans="1:1" x14ac:dyDescent="0.3">
      <c r="A483">
        <f t="shared" si="20"/>
        <v>1900</v>
      </c>
    </row>
    <row r="484" spans="1:1" x14ac:dyDescent="0.3">
      <c r="A484">
        <f t="shared" si="20"/>
        <v>1900</v>
      </c>
    </row>
    <row r="485" spans="1:1" x14ac:dyDescent="0.3">
      <c r="A485">
        <f t="shared" si="20"/>
        <v>1900</v>
      </c>
    </row>
    <row r="486" spans="1:1" x14ac:dyDescent="0.3">
      <c r="A486">
        <f t="shared" si="20"/>
        <v>1900</v>
      </c>
    </row>
    <row r="487" spans="1:1" x14ac:dyDescent="0.3">
      <c r="A487">
        <f t="shared" si="20"/>
        <v>1900</v>
      </c>
    </row>
    <row r="488" spans="1:1" x14ac:dyDescent="0.3">
      <c r="A488">
        <f t="shared" si="20"/>
        <v>1900</v>
      </c>
    </row>
    <row r="489" spans="1:1" x14ac:dyDescent="0.3">
      <c r="A489">
        <f t="shared" si="20"/>
        <v>1900</v>
      </c>
    </row>
    <row r="490" spans="1:1" x14ac:dyDescent="0.3">
      <c r="A490">
        <f t="shared" si="20"/>
        <v>1900</v>
      </c>
    </row>
    <row r="491" spans="1:1" x14ac:dyDescent="0.3">
      <c r="A491">
        <f t="shared" si="20"/>
        <v>1900</v>
      </c>
    </row>
    <row r="492" spans="1:1" x14ac:dyDescent="0.3">
      <c r="A492">
        <f t="shared" si="20"/>
        <v>1900</v>
      </c>
    </row>
    <row r="493" spans="1:1" x14ac:dyDescent="0.3">
      <c r="A493">
        <f t="shared" si="20"/>
        <v>1900</v>
      </c>
    </row>
    <row r="494" spans="1:1" x14ac:dyDescent="0.3">
      <c r="A494">
        <f t="shared" si="20"/>
        <v>1900</v>
      </c>
    </row>
    <row r="495" spans="1:1" x14ac:dyDescent="0.3">
      <c r="A495">
        <f t="shared" si="20"/>
        <v>1900</v>
      </c>
    </row>
    <row r="496" spans="1:1" x14ac:dyDescent="0.3">
      <c r="A496">
        <f t="shared" si="20"/>
        <v>1900</v>
      </c>
    </row>
    <row r="497" spans="1:1" x14ac:dyDescent="0.3">
      <c r="A497">
        <f t="shared" si="20"/>
        <v>1900</v>
      </c>
    </row>
    <row r="498" spans="1:1" x14ac:dyDescent="0.3">
      <c r="A498">
        <f t="shared" si="20"/>
        <v>1900</v>
      </c>
    </row>
    <row r="499" spans="1:1" x14ac:dyDescent="0.3">
      <c r="A499">
        <f t="shared" si="20"/>
        <v>1900</v>
      </c>
    </row>
    <row r="500" spans="1:1" x14ac:dyDescent="0.3">
      <c r="A500">
        <f t="shared" si="20"/>
        <v>1900</v>
      </c>
    </row>
    <row r="501" spans="1:1" x14ac:dyDescent="0.3">
      <c r="A501">
        <f t="shared" si="20"/>
        <v>1900</v>
      </c>
    </row>
    <row r="502" spans="1:1" x14ac:dyDescent="0.3">
      <c r="A502">
        <f t="shared" si="20"/>
        <v>1900</v>
      </c>
    </row>
    <row r="503" spans="1:1" x14ac:dyDescent="0.3">
      <c r="A503">
        <f t="shared" si="20"/>
        <v>1900</v>
      </c>
    </row>
    <row r="504" spans="1:1" x14ac:dyDescent="0.3">
      <c r="A504">
        <f t="shared" si="20"/>
        <v>1900</v>
      </c>
    </row>
    <row r="505" spans="1:1" x14ac:dyDescent="0.3">
      <c r="A505">
        <f t="shared" si="20"/>
        <v>1900</v>
      </c>
    </row>
    <row r="506" spans="1:1" x14ac:dyDescent="0.3">
      <c r="A506">
        <f t="shared" si="20"/>
        <v>1900</v>
      </c>
    </row>
    <row r="507" spans="1:1" x14ac:dyDescent="0.3">
      <c r="A507">
        <f t="shared" si="20"/>
        <v>1900</v>
      </c>
    </row>
    <row r="508" spans="1:1" x14ac:dyDescent="0.3">
      <c r="A508">
        <f t="shared" si="20"/>
        <v>1900</v>
      </c>
    </row>
    <row r="509" spans="1:1" x14ac:dyDescent="0.3">
      <c r="A509">
        <f t="shared" si="20"/>
        <v>1900</v>
      </c>
    </row>
    <row r="510" spans="1:1" x14ac:dyDescent="0.3">
      <c r="A510">
        <f t="shared" si="20"/>
        <v>1900</v>
      </c>
    </row>
  </sheetData>
  <mergeCells count="3">
    <mergeCell ref="B8:F8"/>
    <mergeCell ref="H8:L8"/>
    <mergeCell ref="N8:R8"/>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EA7E330-8560-4726-935D-894D96360B56}">
          <x14:formula1>
            <xm:f>'Min. Expl. By Commodity (Data)'!$A$9:$A$19</xm:f>
          </x14:formula1>
          <xm:sqref>C6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9E541-32CD-4CDB-8B06-FB333832F883}">
  <sheetPr codeName="Sheet10"/>
  <dimension ref="A1:AP571"/>
  <sheetViews>
    <sheetView showGridLines="0" topLeftCell="B1" zoomScale="85" zoomScaleNormal="85" workbookViewId="0">
      <selection activeCell="B1" sqref="B1"/>
    </sheetView>
  </sheetViews>
  <sheetFormatPr defaultColWidth="9.109375" defaultRowHeight="14.4" x14ac:dyDescent="0.3"/>
  <cols>
    <col min="1" max="1" width="6.88671875" hidden="1" customWidth="1"/>
    <col min="2" max="2" width="13.109375" customWidth="1"/>
    <col min="3" max="3" width="13.6640625" customWidth="1"/>
    <col min="4" max="4" width="13.44140625" customWidth="1"/>
    <col min="5" max="5" width="14.33203125" customWidth="1"/>
    <col min="6" max="6" width="18" customWidth="1"/>
    <col min="7" max="7" width="15.88671875" customWidth="1"/>
    <col min="8" max="8" width="16.109375" customWidth="1"/>
    <col min="9" max="9" width="14.109375" customWidth="1"/>
    <col min="10" max="10" width="14" customWidth="1"/>
    <col min="11" max="11" width="14.5546875" customWidth="1"/>
    <col min="12" max="12" width="2.88671875" customWidth="1"/>
    <col min="13" max="13" width="8" customWidth="1"/>
    <col min="14" max="14" width="13.33203125" customWidth="1"/>
    <col min="15" max="15" width="13.5546875" customWidth="1"/>
    <col min="16" max="16" width="12.6640625" customWidth="1"/>
    <col min="17" max="17" width="15.44140625" customWidth="1"/>
    <col min="18" max="18" width="13.109375" customWidth="1"/>
    <col min="19" max="19" width="13.6640625" customWidth="1"/>
    <col min="20" max="20" width="14.109375" customWidth="1"/>
    <col min="21" max="21" width="16.88671875" customWidth="1"/>
    <col min="22" max="22" width="14" customWidth="1"/>
    <col min="23" max="23" width="2.6640625" customWidth="1"/>
    <col min="24" max="24" width="7.6640625" bestFit="1" customWidth="1"/>
    <col min="25" max="25" width="13.6640625" customWidth="1"/>
    <col min="26" max="26" width="13.44140625" customWidth="1"/>
    <col min="27" max="27" width="14.6640625" customWidth="1"/>
    <col min="28" max="28" width="14.5546875" customWidth="1"/>
    <col min="29" max="29" width="15.6640625" customWidth="1"/>
    <col min="30" max="30" width="14.33203125" customWidth="1"/>
    <col min="31" max="31" width="13.44140625" customWidth="1"/>
    <col min="32" max="32" width="16" customWidth="1"/>
    <col min="33" max="33" width="14.33203125" customWidth="1"/>
  </cols>
  <sheetData>
    <row r="1" spans="1:42" x14ac:dyDescent="0.3">
      <c r="M1" s="143">
        <f>(LARGE(B8:B455,1))</f>
        <v>45444</v>
      </c>
    </row>
    <row r="2" spans="1:42" x14ac:dyDescent="0.3">
      <c r="M2" s="143">
        <f>MATCH(M1,B8:B455,0)+6</f>
        <v>90</v>
      </c>
    </row>
    <row r="3" spans="1:42" x14ac:dyDescent="0.3">
      <c r="M3" s="3" t="str">
        <f ca="1">IF(MONTH(INDIRECT(CONCATENATE("B",M2)))=12, "Calendar Year", "Financial year")</f>
        <v>Financial year</v>
      </c>
    </row>
    <row r="4" spans="1:42" x14ac:dyDescent="0.3">
      <c r="M4" s="2"/>
    </row>
    <row r="6" spans="1:42" ht="15" thickBot="1" x14ac:dyDescent="0.35">
      <c r="B6" s="636" t="s">
        <v>118</v>
      </c>
      <c r="C6" s="636"/>
      <c r="D6" s="636"/>
      <c r="E6" s="636"/>
      <c r="F6" s="636"/>
      <c r="G6" s="636"/>
      <c r="H6" s="636"/>
      <c r="I6" s="636"/>
      <c r="J6" s="636"/>
      <c r="K6" s="636"/>
      <c r="L6" s="4"/>
      <c r="M6" s="636" t="s">
        <v>119</v>
      </c>
      <c r="N6" s="636"/>
      <c r="O6" s="636"/>
      <c r="P6" s="636"/>
      <c r="Q6" s="636"/>
      <c r="R6" s="636"/>
      <c r="S6" s="636"/>
      <c r="T6" s="636"/>
      <c r="U6" s="636"/>
      <c r="V6" s="172"/>
      <c r="W6" s="172"/>
      <c r="X6" s="636" t="s">
        <v>72</v>
      </c>
      <c r="Y6" s="636"/>
      <c r="Z6" s="636"/>
      <c r="AA6" s="636"/>
      <c r="AB6" s="636"/>
      <c r="AC6" s="636"/>
      <c r="AD6" s="636"/>
      <c r="AE6" s="636"/>
      <c r="AF6" s="636"/>
      <c r="AG6" s="636"/>
    </row>
    <row r="7" spans="1:42" ht="72" x14ac:dyDescent="0.3">
      <c r="B7" s="210" t="s">
        <v>112</v>
      </c>
      <c r="C7" s="174" t="s">
        <v>120</v>
      </c>
      <c r="D7" s="175" t="s">
        <v>689</v>
      </c>
      <c r="E7" s="211" t="s">
        <v>121</v>
      </c>
      <c r="F7" s="211" t="s">
        <v>122</v>
      </c>
      <c r="G7" s="174" t="s">
        <v>690</v>
      </c>
      <c r="H7" s="174" t="s">
        <v>691</v>
      </c>
      <c r="I7" s="212" t="s">
        <v>684</v>
      </c>
      <c r="J7" s="212" t="s">
        <v>685</v>
      </c>
      <c r="K7" s="176" t="s">
        <v>688</v>
      </c>
      <c r="L7" s="213"/>
      <c r="M7" s="177" t="s">
        <v>73</v>
      </c>
      <c r="N7" s="174" t="s">
        <v>692</v>
      </c>
      <c r="O7" s="211" t="s">
        <v>693</v>
      </c>
      <c r="P7" s="211" t="s">
        <v>694</v>
      </c>
      <c r="Q7" s="174" t="s">
        <v>695</v>
      </c>
      <c r="R7" s="175" t="s">
        <v>690</v>
      </c>
      <c r="S7" s="174" t="s">
        <v>691</v>
      </c>
      <c r="T7" s="174" t="s">
        <v>684</v>
      </c>
      <c r="U7" s="212" t="s">
        <v>685</v>
      </c>
      <c r="V7" s="176" t="s">
        <v>688</v>
      </c>
      <c r="W7" s="178"/>
      <c r="X7" s="214" t="s">
        <v>73</v>
      </c>
      <c r="Y7" s="174" t="s">
        <v>692</v>
      </c>
      <c r="Z7" s="175" t="s">
        <v>693</v>
      </c>
      <c r="AA7" s="174" t="s">
        <v>694</v>
      </c>
      <c r="AB7" s="175" t="s">
        <v>695</v>
      </c>
      <c r="AC7" s="174" t="s">
        <v>690</v>
      </c>
      <c r="AD7" s="175" t="s">
        <v>691</v>
      </c>
      <c r="AE7" s="174" t="s">
        <v>684</v>
      </c>
      <c r="AF7" s="174" t="s">
        <v>685</v>
      </c>
      <c r="AG7" s="176" t="s">
        <v>688</v>
      </c>
      <c r="AH7" s="15"/>
      <c r="AI7" s="15"/>
      <c r="AJ7" s="15"/>
      <c r="AK7" s="15"/>
      <c r="AL7" s="15"/>
      <c r="AM7" s="15"/>
      <c r="AN7" s="15"/>
      <c r="AO7" s="15"/>
      <c r="AP7" s="15"/>
    </row>
    <row r="8" spans="1:42" x14ac:dyDescent="0.3">
      <c r="A8">
        <f>YEAR(B8)</f>
        <v>2003</v>
      </c>
      <c r="B8" s="179">
        <v>37865</v>
      </c>
      <c r="C8" s="18">
        <v>37.4</v>
      </c>
      <c r="D8" s="19">
        <f>E8-C8</f>
        <v>26.200000000000003</v>
      </c>
      <c r="E8" s="18">
        <v>63.6</v>
      </c>
      <c r="F8" s="19">
        <v>71.099999999999994</v>
      </c>
      <c r="G8" s="18">
        <f>H8-F8</f>
        <v>44.800000000000011</v>
      </c>
      <c r="H8" s="19">
        <v>115.9</v>
      </c>
      <c r="I8" s="215">
        <f t="shared" ref="I8:I71" si="0">C8/E8</f>
        <v>0.58805031446540879</v>
      </c>
      <c r="J8" s="60">
        <f>F8/H8</f>
        <v>0.61345987920621214</v>
      </c>
      <c r="K8" s="216">
        <f>C8/(C8+F8)</f>
        <v>0.34470046082949307</v>
      </c>
      <c r="L8" s="217"/>
      <c r="M8" s="181">
        <f t="shared" ref="M8:M16" si="1">M9-1</f>
        <v>2014</v>
      </c>
      <c r="N8" s="42">
        <f t="shared" ref="N8:N17" si="2">SUMIF($A$8:$A$571,$M8,C$8:C$573)</f>
        <v>290</v>
      </c>
      <c r="O8" s="41">
        <f>P8-N8</f>
        <v>254.89999999999998</v>
      </c>
      <c r="P8" s="44">
        <f t="shared" ref="P8:Q17" si="3">SUMIF($A$8:$A$571,$M8,E$8:E$573)</f>
        <v>544.9</v>
      </c>
      <c r="Q8" s="41">
        <f t="shared" si="3"/>
        <v>755.4</v>
      </c>
      <c r="R8" s="44">
        <f>S8-Q8</f>
        <v>539.00000000000011</v>
      </c>
      <c r="S8" s="41">
        <f t="shared" ref="S8:S17" si="4">SUMIF($A$8:$A$571,$M8,H$8:H$573)</f>
        <v>1294.4000000000001</v>
      </c>
      <c r="T8" s="147">
        <f t="shared" ref="T8:T17" si="5">N8/P8</f>
        <v>0.53220774454028263</v>
      </c>
      <c r="U8" s="218">
        <f t="shared" ref="U8:U17" si="6">Q8/S8</f>
        <v>0.58359085290482071</v>
      </c>
      <c r="V8" s="219">
        <f t="shared" ref="V8:V17" si="7">N8/(Q8+N8)</f>
        <v>0.27740577769274916</v>
      </c>
      <c r="W8" s="220"/>
      <c r="X8" s="181" t="str">
        <f>LEFT(X9,4)-1 &amp; "-" &amp; RIGHT(LEFT(X9,4), 2)</f>
        <v>2014-15</v>
      </c>
      <c r="Y8" s="42">
        <f>SUMIFS(C:C, $B:$B, "&gt;=" &amp; DATE(LEFT($X8, 4), 7, 1), $B:$B, "&lt;" &amp; DATE(LEFT($X8, 4)+1, 7, 1))</f>
        <v>250.8</v>
      </c>
      <c r="Z8" s="41">
        <f>AA8-Y8</f>
        <v>235.3</v>
      </c>
      <c r="AA8" s="44">
        <f t="shared" ref="AA8:AB17" si="8">SUMIFS(E:E, $B:$B, "&gt;=" &amp; DATE(LEFT($X8, 4), 7, 1), $B:$B, "&lt;" &amp; DATE(LEFT($X8, 4)+1, 7, 1))</f>
        <v>486.1</v>
      </c>
      <c r="AB8" s="41">
        <f t="shared" si="8"/>
        <v>666.5</v>
      </c>
      <c r="AC8" s="44">
        <f t="shared" ref="AC8:AC17" si="9">AD8-AB8</f>
        <v>426.79999999999995</v>
      </c>
      <c r="AD8" s="41">
        <f t="shared" ref="AD8:AD17" si="10">SUMIFS(H:H, $B:$B, "&gt;=" &amp; DATE(LEFT($X8, 4), 7, 1), $B:$B, "&lt;" &amp; DATE(LEFT($X8, 4)+1, 7, 1))</f>
        <v>1093.3</v>
      </c>
      <c r="AE8" s="147">
        <f t="shared" ref="AE8:AE17" si="11">Y8/AA8</f>
        <v>0.51594322155934991</v>
      </c>
      <c r="AF8" s="218">
        <f t="shared" ref="AF8:AF17" si="12">AB8/AD8</f>
        <v>0.60962224458062753</v>
      </c>
      <c r="AG8" s="219">
        <f t="shared" ref="AG8:AG17" si="13">Y8/(AB8+Y8)</f>
        <v>0.27341109778698358</v>
      </c>
      <c r="AH8" s="15"/>
      <c r="AI8" s="15"/>
      <c r="AJ8" s="15"/>
      <c r="AK8" s="15"/>
      <c r="AL8" s="15"/>
      <c r="AM8" s="15"/>
      <c r="AN8" s="15"/>
      <c r="AO8" s="15"/>
      <c r="AP8" s="15"/>
    </row>
    <row r="9" spans="1:42" x14ac:dyDescent="0.3">
      <c r="A9">
        <f t="shared" ref="A9:A73" si="14">YEAR(B9)</f>
        <v>2003</v>
      </c>
      <c r="B9" s="179">
        <v>37956</v>
      </c>
      <c r="C9" s="186">
        <v>54.1</v>
      </c>
      <c r="D9" s="187">
        <f t="shared" ref="D9:D72" si="15">E9-C9</f>
        <v>29.999999999999993</v>
      </c>
      <c r="E9" s="186">
        <v>84.1</v>
      </c>
      <c r="F9" s="187">
        <v>67.900000000000006</v>
      </c>
      <c r="G9" s="186">
        <f t="shared" ref="G9:G72" si="16">H9-F9</f>
        <v>47.5</v>
      </c>
      <c r="H9" s="187">
        <v>115.4</v>
      </c>
      <c r="I9" s="221">
        <f t="shared" si="0"/>
        <v>0.643281807372176</v>
      </c>
      <c r="J9" s="222">
        <f t="shared" ref="J9:J72" si="17">F9/H9</f>
        <v>0.58838821490467941</v>
      </c>
      <c r="K9" s="223">
        <f t="shared" ref="K9:K72" si="18">C9/(C9+F9)</f>
        <v>0.44344262295081971</v>
      </c>
      <c r="L9" s="217"/>
      <c r="M9" s="189">
        <f t="shared" si="1"/>
        <v>2015</v>
      </c>
      <c r="N9" s="224">
        <f t="shared" si="2"/>
        <v>230.39999999999998</v>
      </c>
      <c r="O9" s="225">
        <f t="shared" ref="O9:O17" si="19">P9-N9</f>
        <v>195.70000000000005</v>
      </c>
      <c r="P9" s="226">
        <f t="shared" si="3"/>
        <v>426.1</v>
      </c>
      <c r="Q9" s="225">
        <f t="shared" si="3"/>
        <v>613.20000000000005</v>
      </c>
      <c r="R9" s="226">
        <f t="shared" ref="R9:R17" si="20">S9-Q9</f>
        <v>399.89999999999986</v>
      </c>
      <c r="S9" s="225">
        <f t="shared" si="4"/>
        <v>1013.0999999999999</v>
      </c>
      <c r="T9" s="227">
        <f t="shared" si="5"/>
        <v>0.54071814128138929</v>
      </c>
      <c r="U9" s="228">
        <f t="shared" si="6"/>
        <v>0.60527095054782365</v>
      </c>
      <c r="V9" s="229">
        <f t="shared" si="7"/>
        <v>0.27311522048364151</v>
      </c>
      <c r="W9" s="220"/>
      <c r="X9" s="189" t="str">
        <f t="shared" ref="X9:X16" si="21">LEFT(X10,4)-1 &amp; "-" &amp; RIGHT(LEFT(X10,4), 2)</f>
        <v>2015-16</v>
      </c>
      <c r="Y9" s="224">
        <f t="shared" ref="Y9:Y17" si="22">SUMIFS(C:C, $B:$B, "&gt;=" &amp; DATE(LEFT($X9, 4), 7, 1), $B:$B, "&lt;" &amp; DATE(LEFT($X9, 4)+1, 7, 1))</f>
        <v>241.40000000000003</v>
      </c>
      <c r="Z9" s="225">
        <f t="shared" ref="Z9:Z17" si="23">AA9-Y9</f>
        <v>170.3</v>
      </c>
      <c r="AA9" s="226">
        <f t="shared" si="8"/>
        <v>411.70000000000005</v>
      </c>
      <c r="AB9" s="225">
        <f t="shared" si="8"/>
        <v>629.6</v>
      </c>
      <c r="AC9" s="226">
        <f t="shared" si="9"/>
        <v>379.80000000000007</v>
      </c>
      <c r="AD9" s="225">
        <f t="shared" si="10"/>
        <v>1009.4000000000001</v>
      </c>
      <c r="AE9" s="227">
        <f t="shared" si="11"/>
        <v>0.58634928345882931</v>
      </c>
      <c r="AF9" s="228">
        <f t="shared" si="12"/>
        <v>0.62373687339013273</v>
      </c>
      <c r="AG9" s="229">
        <f t="shared" si="13"/>
        <v>0.27715269804822046</v>
      </c>
      <c r="AH9" s="15"/>
      <c r="AI9" s="15"/>
      <c r="AJ9" s="15"/>
      <c r="AK9" s="15"/>
      <c r="AL9" s="15"/>
      <c r="AM9" s="15"/>
      <c r="AN9" s="15"/>
      <c r="AO9" s="15"/>
      <c r="AP9" s="15"/>
    </row>
    <row r="10" spans="1:42" x14ac:dyDescent="0.3">
      <c r="A10">
        <f t="shared" si="14"/>
        <v>2004</v>
      </c>
      <c r="B10" s="179">
        <v>38047</v>
      </c>
      <c r="C10" s="18">
        <v>37.6</v>
      </c>
      <c r="D10" s="19">
        <f t="shared" si="15"/>
        <v>22.5</v>
      </c>
      <c r="E10" s="18">
        <v>60.1</v>
      </c>
      <c r="F10" s="19">
        <v>59</v>
      </c>
      <c r="G10" s="18">
        <f t="shared" si="16"/>
        <v>48.099999999999994</v>
      </c>
      <c r="H10" s="19">
        <v>107.1</v>
      </c>
      <c r="I10" s="215">
        <f t="shared" si="0"/>
        <v>0.62562396006655574</v>
      </c>
      <c r="J10" s="60">
        <f t="shared" si="17"/>
        <v>0.55088702147525681</v>
      </c>
      <c r="K10" s="216">
        <f t="shared" si="18"/>
        <v>0.38923395445134579</v>
      </c>
      <c r="L10" s="15"/>
      <c r="M10" s="181">
        <f t="shared" si="1"/>
        <v>2016</v>
      </c>
      <c r="N10" s="42">
        <f t="shared" si="2"/>
        <v>267.5</v>
      </c>
      <c r="O10" s="41">
        <f t="shared" si="19"/>
        <v>168.39999999999998</v>
      </c>
      <c r="P10" s="44">
        <f t="shared" si="3"/>
        <v>435.9</v>
      </c>
      <c r="Q10" s="41">
        <f t="shared" si="3"/>
        <v>660.09999999999991</v>
      </c>
      <c r="R10" s="44">
        <f t="shared" si="20"/>
        <v>330.80000000000018</v>
      </c>
      <c r="S10" s="41">
        <f t="shared" si="4"/>
        <v>990.90000000000009</v>
      </c>
      <c r="T10" s="147">
        <f t="shared" si="5"/>
        <v>0.61367286074787797</v>
      </c>
      <c r="U10" s="218">
        <f t="shared" si="6"/>
        <v>0.66616207488142076</v>
      </c>
      <c r="V10" s="219">
        <f t="shared" si="7"/>
        <v>0.28837861147046145</v>
      </c>
      <c r="W10" s="220"/>
      <c r="X10" s="181" t="str">
        <f t="shared" si="21"/>
        <v>2016-17</v>
      </c>
      <c r="Y10" s="42">
        <f t="shared" si="22"/>
        <v>295.3</v>
      </c>
      <c r="Z10" s="41">
        <f t="shared" si="23"/>
        <v>188.2</v>
      </c>
      <c r="AA10" s="44">
        <f t="shared" si="8"/>
        <v>483.5</v>
      </c>
      <c r="AB10" s="41">
        <f t="shared" si="8"/>
        <v>733.09999999999991</v>
      </c>
      <c r="AC10" s="44">
        <f t="shared" si="9"/>
        <v>348.5</v>
      </c>
      <c r="AD10" s="41">
        <f t="shared" si="10"/>
        <v>1081.5999999999999</v>
      </c>
      <c r="AE10" s="147">
        <f t="shared" si="11"/>
        <v>0.61075491209927613</v>
      </c>
      <c r="AF10" s="218">
        <f t="shared" si="12"/>
        <v>0.67779215976331353</v>
      </c>
      <c r="AG10" s="219">
        <f t="shared" si="13"/>
        <v>0.28714507973551151</v>
      </c>
      <c r="AH10" s="15"/>
      <c r="AI10" s="15"/>
      <c r="AJ10" s="15"/>
      <c r="AK10" s="15"/>
      <c r="AL10" s="15"/>
      <c r="AM10" s="15"/>
      <c r="AN10" s="15"/>
      <c r="AO10" s="15"/>
      <c r="AP10" s="15"/>
    </row>
    <row r="11" spans="1:42" x14ac:dyDescent="0.3">
      <c r="A11">
        <f t="shared" si="14"/>
        <v>2004</v>
      </c>
      <c r="B11" s="179">
        <v>38139</v>
      </c>
      <c r="C11" s="186">
        <v>66.7</v>
      </c>
      <c r="D11" s="187">
        <f t="shared" si="15"/>
        <v>36.599999999999994</v>
      </c>
      <c r="E11" s="186">
        <v>103.3</v>
      </c>
      <c r="F11" s="187">
        <v>72.099999999999994</v>
      </c>
      <c r="G11" s="186">
        <f t="shared" si="16"/>
        <v>65</v>
      </c>
      <c r="H11" s="187">
        <v>137.1</v>
      </c>
      <c r="I11" s="221">
        <f t="shared" si="0"/>
        <v>0.6456921587608907</v>
      </c>
      <c r="J11" s="222">
        <f t="shared" si="17"/>
        <v>0.52589350838803794</v>
      </c>
      <c r="K11" s="223">
        <f t="shared" si="18"/>
        <v>0.48054755043227665</v>
      </c>
      <c r="L11" s="15"/>
      <c r="M11" s="189">
        <f t="shared" si="1"/>
        <v>2017</v>
      </c>
      <c r="N11" s="224">
        <f t="shared" si="2"/>
        <v>339.1</v>
      </c>
      <c r="O11" s="225">
        <f t="shared" si="19"/>
        <v>221.30000000000007</v>
      </c>
      <c r="P11" s="226">
        <f t="shared" si="3"/>
        <v>560.40000000000009</v>
      </c>
      <c r="Q11" s="225">
        <f t="shared" si="3"/>
        <v>769.9</v>
      </c>
      <c r="R11" s="226">
        <f t="shared" si="20"/>
        <v>423.50000000000011</v>
      </c>
      <c r="S11" s="225">
        <f t="shared" si="4"/>
        <v>1193.4000000000001</v>
      </c>
      <c r="T11" s="227">
        <f t="shared" si="5"/>
        <v>0.60510349750178438</v>
      </c>
      <c r="U11" s="228">
        <f t="shared" si="6"/>
        <v>0.64513155689626267</v>
      </c>
      <c r="V11" s="229">
        <f t="shared" si="7"/>
        <v>0.30577096483318306</v>
      </c>
      <c r="W11" s="220"/>
      <c r="X11" s="189" t="str">
        <f t="shared" si="21"/>
        <v>2017-18</v>
      </c>
      <c r="Y11" s="224">
        <f t="shared" si="22"/>
        <v>405.90000000000003</v>
      </c>
      <c r="Z11" s="225">
        <f t="shared" si="23"/>
        <v>258.99999999999994</v>
      </c>
      <c r="AA11" s="226">
        <f t="shared" si="8"/>
        <v>664.9</v>
      </c>
      <c r="AB11" s="225">
        <f t="shared" si="8"/>
        <v>797.80000000000007</v>
      </c>
      <c r="AC11" s="226">
        <f>AD11-AB11</f>
        <v>515.1</v>
      </c>
      <c r="AD11" s="225">
        <f t="shared" si="10"/>
        <v>1312.9</v>
      </c>
      <c r="AE11" s="227">
        <f t="shared" si="11"/>
        <v>0.61046773950970079</v>
      </c>
      <c r="AF11" s="228">
        <f t="shared" si="12"/>
        <v>0.60766242668900905</v>
      </c>
      <c r="AG11" s="229">
        <f t="shared" si="13"/>
        <v>0.33721026833928719</v>
      </c>
      <c r="AH11" s="15"/>
      <c r="AI11" s="15"/>
      <c r="AJ11" s="15"/>
      <c r="AK11" s="15"/>
      <c r="AL11" s="15"/>
      <c r="AM11" s="15"/>
      <c r="AN11" s="15"/>
      <c r="AO11" s="15"/>
      <c r="AP11" s="15"/>
    </row>
    <row r="12" spans="1:42" x14ac:dyDescent="0.3">
      <c r="A12">
        <f t="shared" si="14"/>
        <v>2004</v>
      </c>
      <c r="B12" s="179">
        <v>38231</v>
      </c>
      <c r="C12" s="18">
        <v>68.099999999999994</v>
      </c>
      <c r="D12" s="19">
        <f t="shared" si="15"/>
        <v>30</v>
      </c>
      <c r="E12" s="18">
        <v>98.1</v>
      </c>
      <c r="F12" s="19">
        <v>79.8</v>
      </c>
      <c r="G12" s="18">
        <f t="shared" si="16"/>
        <v>73.2</v>
      </c>
      <c r="H12" s="19">
        <v>153</v>
      </c>
      <c r="I12" s="215">
        <f t="shared" si="0"/>
        <v>0.6941896024464832</v>
      </c>
      <c r="J12" s="60">
        <f t="shared" si="17"/>
        <v>0.52156862745098043</v>
      </c>
      <c r="K12" s="216">
        <f t="shared" si="18"/>
        <v>0.46044624746450308</v>
      </c>
      <c r="L12" s="15"/>
      <c r="M12" s="189">
        <f t="shared" si="1"/>
        <v>2018</v>
      </c>
      <c r="N12" s="42">
        <f t="shared" si="2"/>
        <v>501.70000000000005</v>
      </c>
      <c r="O12" s="41">
        <f t="shared" si="19"/>
        <v>298.59999999999991</v>
      </c>
      <c r="P12" s="44">
        <f t="shared" si="3"/>
        <v>800.3</v>
      </c>
      <c r="Q12" s="41">
        <f t="shared" si="3"/>
        <v>816.7</v>
      </c>
      <c r="R12" s="44">
        <f t="shared" si="20"/>
        <v>567.19999999999982</v>
      </c>
      <c r="S12" s="41">
        <f t="shared" si="4"/>
        <v>1383.8999999999999</v>
      </c>
      <c r="T12" s="147">
        <f t="shared" si="5"/>
        <v>0.62688991628139457</v>
      </c>
      <c r="U12" s="218">
        <f t="shared" si="6"/>
        <v>0.59014379651708948</v>
      </c>
      <c r="V12" s="219">
        <f t="shared" si="7"/>
        <v>0.38053701456310679</v>
      </c>
      <c r="W12" s="220"/>
      <c r="X12" s="189" t="str">
        <f t="shared" si="21"/>
        <v>2018-19</v>
      </c>
      <c r="Y12" s="42">
        <f t="shared" si="22"/>
        <v>598.5</v>
      </c>
      <c r="Z12" s="41">
        <f t="shared" si="23"/>
        <v>308.89999999999998</v>
      </c>
      <c r="AA12" s="44">
        <f t="shared" si="8"/>
        <v>907.4</v>
      </c>
      <c r="AB12" s="41">
        <f t="shared" si="8"/>
        <v>843.59999999999991</v>
      </c>
      <c r="AC12" s="44">
        <f t="shared" si="9"/>
        <v>597.20000000000005</v>
      </c>
      <c r="AD12" s="41">
        <f t="shared" si="10"/>
        <v>1440.8</v>
      </c>
      <c r="AE12" s="147">
        <f>Y12/AA12</f>
        <v>0.65957681287194181</v>
      </c>
      <c r="AF12" s="218">
        <f>AB12/AD12</f>
        <v>0.58550805108273174</v>
      </c>
      <c r="AG12" s="219">
        <f>Y12/(AB12+Y12)</f>
        <v>0.41501976284584985</v>
      </c>
      <c r="AH12" s="15"/>
      <c r="AI12" s="15"/>
      <c r="AJ12" s="15"/>
      <c r="AK12" s="15"/>
      <c r="AL12" s="15"/>
      <c r="AM12" s="15"/>
      <c r="AN12" s="15"/>
      <c r="AO12" s="15"/>
      <c r="AP12" s="15"/>
    </row>
    <row r="13" spans="1:42" x14ac:dyDescent="0.3">
      <c r="A13">
        <f t="shared" si="14"/>
        <v>2004</v>
      </c>
      <c r="B13" s="179">
        <v>38322</v>
      </c>
      <c r="C13" s="186">
        <v>74.7</v>
      </c>
      <c r="D13" s="187">
        <f t="shared" si="15"/>
        <v>32.799999999999997</v>
      </c>
      <c r="E13" s="186">
        <v>107.5</v>
      </c>
      <c r="F13" s="187">
        <v>82</v>
      </c>
      <c r="G13" s="186">
        <f t="shared" si="16"/>
        <v>71.300000000000011</v>
      </c>
      <c r="H13" s="187">
        <v>153.30000000000001</v>
      </c>
      <c r="I13" s="221">
        <f t="shared" si="0"/>
        <v>0.69488372093023254</v>
      </c>
      <c r="J13" s="222">
        <f t="shared" si="17"/>
        <v>0.5348988910632746</v>
      </c>
      <c r="K13" s="223">
        <f t="shared" si="18"/>
        <v>0.47670708359923425</v>
      </c>
      <c r="L13" s="15"/>
      <c r="M13" s="189">
        <f t="shared" si="1"/>
        <v>2019</v>
      </c>
      <c r="N13" s="224">
        <f t="shared" si="2"/>
        <v>696</v>
      </c>
      <c r="O13" s="225">
        <f t="shared" si="19"/>
        <v>360.69999999999982</v>
      </c>
      <c r="P13" s="226">
        <f t="shared" si="3"/>
        <v>1056.6999999999998</v>
      </c>
      <c r="Q13" s="225">
        <f t="shared" si="3"/>
        <v>952.19999999999993</v>
      </c>
      <c r="R13" s="226">
        <f t="shared" si="20"/>
        <v>639.50000000000011</v>
      </c>
      <c r="S13" s="225">
        <f t="shared" si="4"/>
        <v>1591.7</v>
      </c>
      <c r="T13" s="227">
        <f t="shared" si="5"/>
        <v>0.65865430112614753</v>
      </c>
      <c r="U13" s="228">
        <f t="shared" si="6"/>
        <v>0.59822830935477789</v>
      </c>
      <c r="V13" s="229">
        <f t="shared" si="7"/>
        <v>0.42227884965416823</v>
      </c>
      <c r="W13" s="220"/>
      <c r="X13" s="189" t="str">
        <f t="shared" si="21"/>
        <v>2019-20</v>
      </c>
      <c r="Y13" s="224">
        <f t="shared" si="22"/>
        <v>651.4</v>
      </c>
      <c r="Z13" s="225">
        <f t="shared" si="23"/>
        <v>407.6</v>
      </c>
      <c r="AA13" s="226">
        <f t="shared" si="8"/>
        <v>1059</v>
      </c>
      <c r="AB13" s="225">
        <f t="shared" si="8"/>
        <v>1041.8</v>
      </c>
      <c r="AC13" s="226">
        <f t="shared" si="9"/>
        <v>670.89999999999986</v>
      </c>
      <c r="AD13" s="225">
        <f t="shared" si="10"/>
        <v>1712.6999999999998</v>
      </c>
      <c r="AE13" s="227">
        <f t="shared" si="11"/>
        <v>0.61510859301227572</v>
      </c>
      <c r="AF13" s="228">
        <f t="shared" si="12"/>
        <v>0.60827932504233084</v>
      </c>
      <c r="AG13" s="229">
        <f t="shared" si="13"/>
        <v>0.38471533191589891</v>
      </c>
      <c r="AH13" s="15"/>
      <c r="AI13" s="15"/>
      <c r="AJ13" s="15"/>
      <c r="AK13" s="15"/>
      <c r="AL13" s="15"/>
      <c r="AM13" s="15"/>
      <c r="AN13" s="15"/>
      <c r="AO13" s="15"/>
      <c r="AP13" s="15"/>
    </row>
    <row r="14" spans="1:42" x14ac:dyDescent="0.3">
      <c r="A14">
        <f t="shared" si="14"/>
        <v>2005</v>
      </c>
      <c r="B14" s="179">
        <v>38412</v>
      </c>
      <c r="C14" s="18">
        <v>60.2</v>
      </c>
      <c r="D14" s="19">
        <f t="shared" si="15"/>
        <v>23.599999999999994</v>
      </c>
      <c r="E14" s="18">
        <v>83.8</v>
      </c>
      <c r="F14" s="19">
        <v>74.2</v>
      </c>
      <c r="G14" s="18">
        <f t="shared" si="16"/>
        <v>67.8</v>
      </c>
      <c r="H14" s="19">
        <v>142</v>
      </c>
      <c r="I14" s="215">
        <f t="shared" si="0"/>
        <v>0.7183770883054893</v>
      </c>
      <c r="J14" s="60">
        <f t="shared" si="17"/>
        <v>0.5225352112676056</v>
      </c>
      <c r="K14" s="216">
        <f t="shared" si="18"/>
        <v>0.44791666666666669</v>
      </c>
      <c r="L14" s="15"/>
      <c r="M14" s="189">
        <f t="shared" si="1"/>
        <v>2020</v>
      </c>
      <c r="N14" s="42">
        <f t="shared" si="2"/>
        <v>577.40000000000009</v>
      </c>
      <c r="O14" s="41">
        <f t="shared" si="19"/>
        <v>379.4</v>
      </c>
      <c r="P14" s="44">
        <f t="shared" si="3"/>
        <v>956.80000000000007</v>
      </c>
      <c r="Q14" s="41">
        <f t="shared" si="3"/>
        <v>1180.2</v>
      </c>
      <c r="R14" s="44">
        <f t="shared" si="20"/>
        <v>671.7</v>
      </c>
      <c r="S14" s="41">
        <f t="shared" si="4"/>
        <v>1851.9</v>
      </c>
      <c r="T14" s="147">
        <f t="shared" si="5"/>
        <v>0.60346989966555187</v>
      </c>
      <c r="U14" s="218">
        <f t="shared" si="6"/>
        <v>0.637291430422809</v>
      </c>
      <c r="V14" s="219">
        <f t="shared" si="7"/>
        <v>0.32851615839781523</v>
      </c>
      <c r="W14" s="220"/>
      <c r="X14" s="189" t="str">
        <f t="shared" si="21"/>
        <v>2020-21</v>
      </c>
      <c r="Y14" s="42">
        <f t="shared" si="22"/>
        <v>683.30000000000007</v>
      </c>
      <c r="Z14" s="41">
        <f t="shared" si="23"/>
        <v>383.6</v>
      </c>
      <c r="AA14" s="44">
        <f t="shared" si="8"/>
        <v>1066.9000000000001</v>
      </c>
      <c r="AB14" s="41">
        <f t="shared" si="8"/>
        <v>1368.8</v>
      </c>
      <c r="AC14" s="44">
        <f t="shared" si="9"/>
        <v>726.00000000000023</v>
      </c>
      <c r="AD14" s="41">
        <f t="shared" si="10"/>
        <v>2094.8000000000002</v>
      </c>
      <c r="AE14" s="147">
        <f t="shared" si="11"/>
        <v>0.64045365076389538</v>
      </c>
      <c r="AF14" s="218">
        <f t="shared" si="12"/>
        <v>0.65342753484819549</v>
      </c>
      <c r="AG14" s="219">
        <f t="shared" si="13"/>
        <v>0.332975975829638</v>
      </c>
      <c r="AH14" s="15"/>
      <c r="AI14" s="15"/>
      <c r="AJ14" s="15"/>
      <c r="AK14" s="15"/>
      <c r="AL14" s="15"/>
      <c r="AM14" s="15"/>
      <c r="AN14" s="15"/>
      <c r="AO14" s="15"/>
      <c r="AP14" s="15"/>
    </row>
    <row r="15" spans="1:42" x14ac:dyDescent="0.3">
      <c r="A15">
        <f t="shared" si="14"/>
        <v>2005</v>
      </c>
      <c r="B15" s="179">
        <v>38504</v>
      </c>
      <c r="C15" s="186">
        <v>80.2</v>
      </c>
      <c r="D15" s="187">
        <f t="shared" si="15"/>
        <v>35</v>
      </c>
      <c r="E15" s="186">
        <v>115.2</v>
      </c>
      <c r="F15" s="187">
        <v>86.8</v>
      </c>
      <c r="G15" s="186">
        <f t="shared" si="16"/>
        <v>88.7</v>
      </c>
      <c r="H15" s="187">
        <v>175.5</v>
      </c>
      <c r="I15" s="221">
        <f t="shared" si="0"/>
        <v>0.69618055555555558</v>
      </c>
      <c r="J15" s="222">
        <f t="shared" si="17"/>
        <v>0.49458689458689459</v>
      </c>
      <c r="K15" s="223">
        <f t="shared" si="18"/>
        <v>0.48023952095808387</v>
      </c>
      <c r="L15" s="15"/>
      <c r="M15" s="189">
        <f t="shared" si="1"/>
        <v>2021</v>
      </c>
      <c r="N15" s="224">
        <f t="shared" si="2"/>
        <v>780.2</v>
      </c>
      <c r="O15" s="225">
        <f t="shared" si="19"/>
        <v>428.09999999999991</v>
      </c>
      <c r="P15" s="226">
        <f t="shared" si="3"/>
        <v>1208.3</v>
      </c>
      <c r="Q15" s="225">
        <f t="shared" si="3"/>
        <v>1571</v>
      </c>
      <c r="R15" s="226">
        <f t="shared" si="20"/>
        <v>816.80000000000018</v>
      </c>
      <c r="S15" s="225">
        <f t="shared" si="4"/>
        <v>2387.8000000000002</v>
      </c>
      <c r="T15" s="227">
        <f t="shared" si="5"/>
        <v>0.64570057105023593</v>
      </c>
      <c r="U15" s="228">
        <f t="shared" si="6"/>
        <v>0.65792779964821169</v>
      </c>
      <c r="V15" s="229">
        <f t="shared" si="7"/>
        <v>0.33183055461041178</v>
      </c>
      <c r="W15" s="220"/>
      <c r="X15" s="189" t="str">
        <f t="shared" si="21"/>
        <v>2021-22</v>
      </c>
      <c r="Y15" s="224">
        <f t="shared" si="22"/>
        <v>758.5</v>
      </c>
      <c r="Z15" s="225">
        <f t="shared" si="23"/>
        <v>461.69999999999982</v>
      </c>
      <c r="AA15" s="226">
        <f t="shared" si="8"/>
        <v>1220.1999999999998</v>
      </c>
      <c r="AB15" s="225">
        <f t="shared" si="8"/>
        <v>1720</v>
      </c>
      <c r="AC15" s="226">
        <f t="shared" si="9"/>
        <v>921.69999999999982</v>
      </c>
      <c r="AD15" s="225">
        <f t="shared" si="10"/>
        <v>2641.7</v>
      </c>
      <c r="AE15" s="227">
        <f t="shared" si="11"/>
        <v>0.62161940665464688</v>
      </c>
      <c r="AF15" s="228">
        <f t="shared" si="12"/>
        <v>0.65109588522542305</v>
      </c>
      <c r="AG15" s="229">
        <f t="shared" si="13"/>
        <v>0.30603187411740973</v>
      </c>
      <c r="AH15" s="15"/>
      <c r="AI15" s="15"/>
      <c r="AJ15" s="15"/>
      <c r="AK15" s="15"/>
      <c r="AL15" s="15"/>
      <c r="AM15" s="15"/>
      <c r="AN15" s="15"/>
      <c r="AO15" s="15"/>
      <c r="AP15" s="15"/>
    </row>
    <row r="16" spans="1:42" x14ac:dyDescent="0.3">
      <c r="A16">
        <f t="shared" si="14"/>
        <v>2005</v>
      </c>
      <c r="B16" s="179">
        <v>38596</v>
      </c>
      <c r="C16" s="18">
        <v>64.2</v>
      </c>
      <c r="D16" s="19">
        <f t="shared" si="15"/>
        <v>41.3</v>
      </c>
      <c r="E16" s="18">
        <v>105.5</v>
      </c>
      <c r="F16" s="19">
        <v>90.2</v>
      </c>
      <c r="G16" s="18">
        <f t="shared" si="16"/>
        <v>96.399999999999991</v>
      </c>
      <c r="H16" s="19">
        <v>186.6</v>
      </c>
      <c r="I16" s="215">
        <f t="shared" si="0"/>
        <v>0.60853080568720386</v>
      </c>
      <c r="J16" s="60">
        <f t="shared" si="17"/>
        <v>0.48338692390139337</v>
      </c>
      <c r="K16" s="216">
        <f t="shared" si="18"/>
        <v>0.41580310880829013</v>
      </c>
      <c r="L16" s="15"/>
      <c r="M16" s="189">
        <f t="shared" si="1"/>
        <v>2022</v>
      </c>
      <c r="N16" s="42">
        <f t="shared" si="2"/>
        <v>794</v>
      </c>
      <c r="O16" s="41">
        <f t="shared" si="19"/>
        <v>475.20000000000005</v>
      </c>
      <c r="P16" s="44">
        <f t="shared" si="3"/>
        <v>1269.2</v>
      </c>
      <c r="Q16" s="41">
        <f t="shared" si="3"/>
        <v>1752.8999999999999</v>
      </c>
      <c r="R16" s="44">
        <f t="shared" si="20"/>
        <v>1037.9999999999998</v>
      </c>
      <c r="S16" s="41">
        <f t="shared" si="4"/>
        <v>2790.8999999999996</v>
      </c>
      <c r="T16" s="147">
        <f t="shared" si="5"/>
        <v>0.62559092341632527</v>
      </c>
      <c r="U16" s="218">
        <f t="shared" si="6"/>
        <v>0.62807696442007954</v>
      </c>
      <c r="V16" s="219">
        <f t="shared" si="7"/>
        <v>0.31175154108916725</v>
      </c>
      <c r="W16" s="220"/>
      <c r="X16" s="189" t="str">
        <f t="shared" si="21"/>
        <v>2022-23</v>
      </c>
      <c r="Y16" s="18">
        <f t="shared" si="22"/>
        <v>816.40000000000009</v>
      </c>
      <c r="Z16" s="19">
        <f t="shared" si="23"/>
        <v>483.69999999999982</v>
      </c>
      <c r="AA16" s="230">
        <f t="shared" si="8"/>
        <v>1300.0999999999999</v>
      </c>
      <c r="AB16" s="230">
        <f t="shared" si="8"/>
        <v>1738.6</v>
      </c>
      <c r="AC16" s="230">
        <f t="shared" si="9"/>
        <v>1094.8000000000002</v>
      </c>
      <c r="AD16" s="19">
        <f t="shared" si="10"/>
        <v>2833.4</v>
      </c>
      <c r="AE16" s="231">
        <f t="shared" si="11"/>
        <v>0.62795169602338297</v>
      </c>
      <c r="AF16" s="232">
        <f t="shared" si="12"/>
        <v>0.61360909155078702</v>
      </c>
      <c r="AG16" s="114">
        <f t="shared" si="13"/>
        <v>0.31953033268101766</v>
      </c>
      <c r="AH16" s="15"/>
      <c r="AI16" s="15"/>
      <c r="AJ16" s="15"/>
      <c r="AK16" s="15"/>
      <c r="AL16" s="15"/>
      <c r="AM16" s="15"/>
      <c r="AN16" s="15"/>
      <c r="AO16" s="15"/>
      <c r="AP16" s="15"/>
    </row>
    <row r="17" spans="1:42" ht="15" thickBot="1" x14ac:dyDescent="0.35">
      <c r="A17">
        <f t="shared" si="14"/>
        <v>2005</v>
      </c>
      <c r="B17" s="179">
        <v>38687</v>
      </c>
      <c r="C17" s="186">
        <v>70.8</v>
      </c>
      <c r="D17" s="187">
        <f t="shared" si="15"/>
        <v>47</v>
      </c>
      <c r="E17" s="186">
        <v>117.8</v>
      </c>
      <c r="F17" s="187">
        <v>87.2</v>
      </c>
      <c r="G17" s="186">
        <f t="shared" si="16"/>
        <v>122.60000000000001</v>
      </c>
      <c r="H17" s="187">
        <v>209.8</v>
      </c>
      <c r="I17" s="221">
        <f t="shared" si="0"/>
        <v>0.60101867572156198</v>
      </c>
      <c r="J17" s="222">
        <f t="shared" si="17"/>
        <v>0.41563393708293611</v>
      </c>
      <c r="K17" s="223">
        <f t="shared" si="18"/>
        <v>0.44810126582278481</v>
      </c>
      <c r="L17" s="15"/>
      <c r="M17" s="195">
        <f>YEAR(LARGE(B:B, 4))</f>
        <v>2023</v>
      </c>
      <c r="N17" s="233">
        <f t="shared" si="2"/>
        <v>792.2</v>
      </c>
      <c r="O17" s="234">
        <f t="shared" si="19"/>
        <v>546.09999999999991</v>
      </c>
      <c r="P17" s="235">
        <f t="shared" si="3"/>
        <v>1338.3</v>
      </c>
      <c r="Q17" s="203">
        <f t="shared" si="3"/>
        <v>1809</v>
      </c>
      <c r="R17" s="236">
        <f t="shared" si="20"/>
        <v>1113.4000000000005</v>
      </c>
      <c r="S17" s="234">
        <f t="shared" si="4"/>
        <v>2922.4000000000005</v>
      </c>
      <c r="T17" s="237">
        <f t="shared" si="5"/>
        <v>0.59194500485690804</v>
      </c>
      <c r="U17" s="238">
        <f t="shared" si="6"/>
        <v>0.61901177114700234</v>
      </c>
      <c r="V17" s="239">
        <f t="shared" si="7"/>
        <v>0.30455174534830082</v>
      </c>
      <c r="W17" s="220"/>
      <c r="X17" s="195" t="str">
        <f>IF(MONTH(LARGE(B:B,4))&gt;=7, YEAR(LARGE(B:B,4)) &amp; "-" &amp; RIGHT(YEAR(LARGE(B:B,4))+1, 2),
                                                               YEAR(LARGE(B:B,4))-1 &amp; "-" &amp; RIGHT(YEAR(LARGE(B:B,4)), 2)
)</f>
        <v>2023-24</v>
      </c>
      <c r="Y17" s="233">
        <f t="shared" si="22"/>
        <v>730.9</v>
      </c>
      <c r="Z17" s="234">
        <f t="shared" si="23"/>
        <v>582.4</v>
      </c>
      <c r="AA17" s="236">
        <f t="shared" si="8"/>
        <v>1313.3</v>
      </c>
      <c r="AB17" s="234">
        <f t="shared" si="8"/>
        <v>1844.1</v>
      </c>
      <c r="AC17" s="236">
        <f t="shared" si="9"/>
        <v>1042.2000000000003</v>
      </c>
      <c r="AD17" s="234">
        <f t="shared" si="10"/>
        <v>2886.3</v>
      </c>
      <c r="AE17" s="237">
        <f t="shared" si="11"/>
        <v>0.55653696794334884</v>
      </c>
      <c r="AF17" s="238">
        <f t="shared" si="12"/>
        <v>0.63891487371375111</v>
      </c>
      <c r="AG17" s="239">
        <f t="shared" si="13"/>
        <v>0.28384466019417476</v>
      </c>
      <c r="AH17" s="15"/>
      <c r="AI17" s="15"/>
      <c r="AJ17" s="15"/>
      <c r="AK17" s="15"/>
      <c r="AL17" s="15"/>
      <c r="AM17" s="15"/>
      <c r="AN17" s="15"/>
      <c r="AO17" s="15"/>
      <c r="AP17" s="15"/>
    </row>
    <row r="18" spans="1:42" x14ac:dyDescent="0.3">
      <c r="A18">
        <f t="shared" si="14"/>
        <v>2006</v>
      </c>
      <c r="B18" s="179">
        <v>38777</v>
      </c>
      <c r="C18" s="18">
        <v>60.4</v>
      </c>
      <c r="D18" s="19">
        <f t="shared" si="15"/>
        <v>44.1</v>
      </c>
      <c r="E18" s="18">
        <v>104.5</v>
      </c>
      <c r="F18" s="19">
        <v>61.1</v>
      </c>
      <c r="G18" s="18">
        <f t="shared" si="16"/>
        <v>98.200000000000017</v>
      </c>
      <c r="H18" s="19">
        <v>159.30000000000001</v>
      </c>
      <c r="I18" s="215">
        <f t="shared" si="0"/>
        <v>0.57799043062200961</v>
      </c>
      <c r="J18" s="60">
        <f t="shared" si="17"/>
        <v>0.38355304456999373</v>
      </c>
      <c r="K18" s="216">
        <f t="shared" si="18"/>
        <v>0.49711934156378601</v>
      </c>
      <c r="L18" s="15"/>
      <c r="V18" s="178"/>
      <c r="W18" s="220"/>
      <c r="AB18" s="15"/>
      <c r="AC18" s="15"/>
      <c r="AD18" s="15"/>
      <c r="AF18" s="15"/>
      <c r="AG18" s="15"/>
      <c r="AH18" s="15"/>
      <c r="AI18" s="15"/>
      <c r="AJ18" s="15"/>
      <c r="AK18" s="15"/>
      <c r="AL18" s="15"/>
      <c r="AM18" s="15"/>
      <c r="AN18" s="15"/>
      <c r="AO18" s="15"/>
      <c r="AP18" s="15"/>
    </row>
    <row r="19" spans="1:42" x14ac:dyDescent="0.3">
      <c r="A19">
        <f t="shared" si="14"/>
        <v>2006</v>
      </c>
      <c r="B19" s="179">
        <v>38869</v>
      </c>
      <c r="C19" s="186">
        <v>73.2</v>
      </c>
      <c r="D19" s="187">
        <f t="shared" si="15"/>
        <v>56.499999999999986</v>
      </c>
      <c r="E19" s="186">
        <v>129.69999999999999</v>
      </c>
      <c r="F19" s="187">
        <v>83.1</v>
      </c>
      <c r="G19" s="186">
        <f t="shared" si="16"/>
        <v>144.6</v>
      </c>
      <c r="H19" s="187">
        <v>227.7</v>
      </c>
      <c r="I19" s="221">
        <f t="shared" si="0"/>
        <v>0.5643793369313802</v>
      </c>
      <c r="J19" s="222">
        <f t="shared" si="17"/>
        <v>0.36495388669301715</v>
      </c>
      <c r="K19" s="223">
        <f t="shared" si="18"/>
        <v>0.46833013435700577</v>
      </c>
      <c r="L19" s="15"/>
      <c r="V19" s="178"/>
      <c r="W19" s="178"/>
      <c r="AB19" s="15"/>
      <c r="AC19" s="15"/>
      <c r="AD19" s="15"/>
      <c r="AF19" s="15"/>
      <c r="AG19" s="15"/>
      <c r="AH19" s="15"/>
      <c r="AI19" s="15"/>
      <c r="AJ19" s="15"/>
      <c r="AK19" s="15"/>
      <c r="AL19" s="15"/>
      <c r="AM19" s="15"/>
      <c r="AN19" s="15"/>
      <c r="AO19" s="15"/>
      <c r="AP19" s="15"/>
    </row>
    <row r="20" spans="1:42" x14ac:dyDescent="0.3">
      <c r="A20">
        <f t="shared" si="14"/>
        <v>2006</v>
      </c>
      <c r="B20" s="179">
        <v>38961</v>
      </c>
      <c r="C20" s="18">
        <v>77.099999999999994</v>
      </c>
      <c r="D20" s="19">
        <f t="shared" si="15"/>
        <v>61.400000000000006</v>
      </c>
      <c r="E20" s="18">
        <v>138.5</v>
      </c>
      <c r="F20" s="19">
        <v>113.1</v>
      </c>
      <c r="G20" s="18">
        <f t="shared" si="16"/>
        <v>143.00000000000003</v>
      </c>
      <c r="H20" s="19">
        <v>256.10000000000002</v>
      </c>
      <c r="I20" s="215">
        <f t="shared" si="0"/>
        <v>0.55667870036101075</v>
      </c>
      <c r="J20" s="60">
        <f t="shared" si="17"/>
        <v>0.44162436548223344</v>
      </c>
      <c r="K20" s="216">
        <f t="shared" si="18"/>
        <v>0.40536277602523657</v>
      </c>
      <c r="L20" s="15"/>
      <c r="V20" s="178"/>
      <c r="W20" s="178"/>
      <c r="AB20" s="15"/>
      <c r="AC20" s="15"/>
      <c r="AD20" s="15"/>
      <c r="AF20" s="15"/>
      <c r="AG20" s="15"/>
      <c r="AH20" s="15"/>
      <c r="AI20" s="15"/>
      <c r="AJ20" s="15"/>
      <c r="AK20" s="15"/>
      <c r="AL20" s="15"/>
      <c r="AM20" s="15"/>
      <c r="AN20" s="15"/>
      <c r="AO20" s="15"/>
      <c r="AP20" s="15"/>
    </row>
    <row r="21" spans="1:42" x14ac:dyDescent="0.3">
      <c r="A21">
        <f t="shared" si="14"/>
        <v>2006</v>
      </c>
      <c r="B21" s="179">
        <v>39052</v>
      </c>
      <c r="C21" s="186">
        <v>86.4</v>
      </c>
      <c r="D21" s="187">
        <f t="shared" si="15"/>
        <v>73.799999999999983</v>
      </c>
      <c r="E21" s="186">
        <v>160.19999999999999</v>
      </c>
      <c r="F21" s="187">
        <v>130.80000000000001</v>
      </c>
      <c r="G21" s="186">
        <f t="shared" si="16"/>
        <v>157.19999999999999</v>
      </c>
      <c r="H21" s="187">
        <v>288</v>
      </c>
      <c r="I21" s="221">
        <f t="shared" si="0"/>
        <v>0.53932584269662931</v>
      </c>
      <c r="J21" s="222">
        <f t="shared" si="17"/>
        <v>0.45416666666666672</v>
      </c>
      <c r="K21" s="223">
        <f t="shared" si="18"/>
        <v>0.39779005524861877</v>
      </c>
      <c r="L21" s="15"/>
      <c r="V21" s="178"/>
      <c r="W21" s="178"/>
      <c r="AB21" s="15"/>
      <c r="AC21" s="15"/>
      <c r="AD21" s="15"/>
      <c r="AF21" s="15"/>
      <c r="AG21" s="15"/>
      <c r="AH21" s="15"/>
      <c r="AI21" s="15"/>
      <c r="AJ21" s="15"/>
      <c r="AK21" s="15"/>
      <c r="AL21" s="15"/>
      <c r="AM21" s="15"/>
      <c r="AN21" s="15"/>
      <c r="AO21" s="15"/>
      <c r="AP21" s="15"/>
    </row>
    <row r="22" spans="1:42" x14ac:dyDescent="0.3">
      <c r="A22">
        <f t="shared" si="14"/>
        <v>2007</v>
      </c>
      <c r="B22" s="179">
        <v>39142</v>
      </c>
      <c r="C22" s="18">
        <v>74.099999999999994</v>
      </c>
      <c r="D22" s="19">
        <f t="shared" si="15"/>
        <v>58.400000000000006</v>
      </c>
      <c r="E22" s="18">
        <v>132.5</v>
      </c>
      <c r="F22" s="19">
        <v>105.7</v>
      </c>
      <c r="G22" s="18">
        <f t="shared" si="16"/>
        <v>131.10000000000002</v>
      </c>
      <c r="H22" s="19">
        <v>236.8</v>
      </c>
      <c r="I22" s="215">
        <f t="shared" si="0"/>
        <v>0.55924528301886789</v>
      </c>
      <c r="J22" s="60">
        <f t="shared" si="17"/>
        <v>0.44636824324324326</v>
      </c>
      <c r="K22" s="216">
        <f t="shared" si="18"/>
        <v>0.41212458286985532</v>
      </c>
      <c r="L22" s="15"/>
      <c r="V22" s="178"/>
      <c r="W22" s="178"/>
      <c r="AB22" s="15"/>
      <c r="AC22" s="15"/>
      <c r="AD22" s="15"/>
      <c r="AF22" s="15"/>
      <c r="AG22" s="15"/>
      <c r="AH22" s="15"/>
      <c r="AI22" s="15"/>
      <c r="AJ22" s="15"/>
      <c r="AK22" s="15"/>
      <c r="AL22" s="15"/>
      <c r="AM22" s="15"/>
      <c r="AN22" s="15"/>
      <c r="AO22" s="15"/>
      <c r="AP22" s="15"/>
    </row>
    <row r="23" spans="1:42" x14ac:dyDescent="0.3">
      <c r="A23">
        <f t="shared" si="14"/>
        <v>2007</v>
      </c>
      <c r="B23" s="179">
        <v>39234</v>
      </c>
      <c r="C23" s="186">
        <v>94.4</v>
      </c>
      <c r="D23" s="187">
        <f t="shared" si="15"/>
        <v>84.299999999999983</v>
      </c>
      <c r="E23" s="186">
        <v>178.7</v>
      </c>
      <c r="F23" s="187">
        <v>157.4</v>
      </c>
      <c r="G23" s="186">
        <f t="shared" si="16"/>
        <v>166.29999999999998</v>
      </c>
      <c r="H23" s="187">
        <v>323.7</v>
      </c>
      <c r="I23" s="221">
        <f t="shared" si="0"/>
        <v>0.52825965304980416</v>
      </c>
      <c r="J23" s="222">
        <f t="shared" si="17"/>
        <v>0.48625270312017305</v>
      </c>
      <c r="K23" s="223">
        <f t="shared" si="18"/>
        <v>0.37490071485305798</v>
      </c>
      <c r="L23" s="15"/>
      <c r="V23" s="178"/>
      <c r="W23" s="178"/>
      <c r="AB23" s="15"/>
      <c r="AC23" s="15"/>
      <c r="AD23" s="15"/>
      <c r="AF23" s="15"/>
      <c r="AG23" s="15"/>
      <c r="AH23" s="15"/>
      <c r="AI23" s="15"/>
      <c r="AJ23" s="15"/>
      <c r="AK23" s="15"/>
      <c r="AL23" s="15"/>
      <c r="AM23" s="15"/>
      <c r="AN23" s="15"/>
      <c r="AO23" s="15"/>
      <c r="AP23" s="15"/>
    </row>
    <row r="24" spans="1:42" x14ac:dyDescent="0.3">
      <c r="A24">
        <f t="shared" si="14"/>
        <v>2007</v>
      </c>
      <c r="B24" s="179">
        <v>39326</v>
      </c>
      <c r="C24" s="18">
        <v>110.9</v>
      </c>
      <c r="D24" s="19">
        <f t="shared" si="15"/>
        <v>98.6</v>
      </c>
      <c r="E24" s="18">
        <v>209.5</v>
      </c>
      <c r="F24" s="19">
        <v>182.5</v>
      </c>
      <c r="G24" s="18">
        <f t="shared" si="16"/>
        <v>171.39999999999998</v>
      </c>
      <c r="H24" s="19">
        <v>353.9</v>
      </c>
      <c r="I24" s="215">
        <f t="shared" si="0"/>
        <v>0.52935560859188546</v>
      </c>
      <c r="J24" s="60">
        <f t="shared" si="17"/>
        <v>0.51568239615710654</v>
      </c>
      <c r="K24" s="216">
        <f t="shared" si="18"/>
        <v>0.37798227675528295</v>
      </c>
      <c r="L24" s="15"/>
      <c r="V24" s="178"/>
      <c r="W24" s="178"/>
      <c r="AB24" s="15"/>
      <c r="AC24" s="15"/>
      <c r="AD24" s="15"/>
      <c r="AF24" s="15"/>
      <c r="AG24" s="15"/>
      <c r="AH24" s="15"/>
      <c r="AI24" s="15"/>
      <c r="AJ24" s="15"/>
      <c r="AK24" s="15"/>
      <c r="AL24" s="15"/>
      <c r="AM24" s="15"/>
      <c r="AN24" s="15"/>
      <c r="AO24" s="15"/>
      <c r="AP24" s="15"/>
    </row>
    <row r="25" spans="1:42" x14ac:dyDescent="0.3">
      <c r="A25">
        <f t="shared" si="14"/>
        <v>2007</v>
      </c>
      <c r="B25" s="179">
        <v>39417</v>
      </c>
      <c r="C25" s="186">
        <v>135</v>
      </c>
      <c r="D25" s="187">
        <f t="shared" si="15"/>
        <v>139.19999999999999</v>
      </c>
      <c r="E25" s="186">
        <v>274.2</v>
      </c>
      <c r="F25" s="187">
        <v>178.8</v>
      </c>
      <c r="G25" s="186">
        <f t="shared" si="16"/>
        <v>172.89999999999998</v>
      </c>
      <c r="H25" s="187">
        <v>351.7</v>
      </c>
      <c r="I25" s="221">
        <f t="shared" si="0"/>
        <v>0.49234135667396062</v>
      </c>
      <c r="J25" s="222">
        <f t="shared" si="17"/>
        <v>0.5083878305373899</v>
      </c>
      <c r="K25" s="223">
        <f t="shared" si="18"/>
        <v>0.43021032504780116</v>
      </c>
      <c r="L25" s="15"/>
      <c r="V25" s="178"/>
      <c r="W25" s="178"/>
      <c r="AB25" s="15"/>
      <c r="AC25" s="15"/>
      <c r="AD25" s="15"/>
      <c r="AF25" s="15"/>
      <c r="AG25" s="15"/>
      <c r="AH25" s="15"/>
      <c r="AI25" s="15"/>
      <c r="AJ25" s="15"/>
      <c r="AK25" s="15"/>
      <c r="AL25" s="15"/>
      <c r="AM25" s="15"/>
      <c r="AN25" s="15"/>
      <c r="AO25" s="15"/>
      <c r="AP25" s="15"/>
    </row>
    <row r="26" spans="1:42" x14ac:dyDescent="0.3">
      <c r="A26">
        <f t="shared" si="14"/>
        <v>2008</v>
      </c>
      <c r="B26" s="179">
        <v>39508</v>
      </c>
      <c r="C26" s="18">
        <v>117.4</v>
      </c>
      <c r="D26" s="19">
        <f t="shared" si="15"/>
        <v>106.19999999999999</v>
      </c>
      <c r="E26" s="18">
        <v>223.6</v>
      </c>
      <c r="F26" s="19">
        <v>154</v>
      </c>
      <c r="G26" s="18">
        <f t="shared" si="16"/>
        <v>166.3</v>
      </c>
      <c r="H26" s="19">
        <v>320.3</v>
      </c>
      <c r="I26" s="215">
        <f t="shared" si="0"/>
        <v>0.52504472271914138</v>
      </c>
      <c r="J26" s="60">
        <f t="shared" si="17"/>
        <v>0.48079925070246643</v>
      </c>
      <c r="K26" s="216">
        <f t="shared" si="18"/>
        <v>0.43257184966838619</v>
      </c>
      <c r="L26" s="15"/>
      <c r="V26" s="178"/>
      <c r="W26" s="178"/>
      <c r="AB26" s="15"/>
      <c r="AC26" s="15"/>
      <c r="AD26" s="15"/>
      <c r="AF26" s="15"/>
      <c r="AG26" s="15"/>
      <c r="AH26" s="15"/>
      <c r="AI26" s="15"/>
      <c r="AJ26" s="15"/>
      <c r="AK26" s="15"/>
      <c r="AL26" s="15"/>
      <c r="AM26" s="15"/>
      <c r="AN26" s="15"/>
      <c r="AO26" s="15"/>
      <c r="AP26" s="15"/>
    </row>
    <row r="27" spans="1:42" x14ac:dyDescent="0.3">
      <c r="A27">
        <f t="shared" si="14"/>
        <v>2008</v>
      </c>
      <c r="B27" s="179">
        <v>39600</v>
      </c>
      <c r="C27" s="186">
        <v>173.6</v>
      </c>
      <c r="D27" s="187">
        <f t="shared" si="15"/>
        <v>131.79999999999998</v>
      </c>
      <c r="E27" s="186">
        <v>305.39999999999998</v>
      </c>
      <c r="F27" s="187">
        <v>207.6</v>
      </c>
      <c r="G27" s="186">
        <f t="shared" si="16"/>
        <v>215.1</v>
      </c>
      <c r="H27" s="187">
        <v>422.7</v>
      </c>
      <c r="I27" s="221">
        <f t="shared" si="0"/>
        <v>0.56843483955468244</v>
      </c>
      <c r="J27" s="222">
        <f t="shared" si="17"/>
        <v>0.49112845990063875</v>
      </c>
      <c r="K27" s="223">
        <f t="shared" si="18"/>
        <v>0.45540398740818466</v>
      </c>
      <c r="L27" s="15"/>
      <c r="N27" s="156"/>
      <c r="O27" s="156"/>
      <c r="P27" s="156"/>
      <c r="Q27" s="51"/>
      <c r="R27" s="51"/>
      <c r="S27" s="156"/>
      <c r="T27" s="156"/>
      <c r="U27" s="156"/>
      <c r="V27" s="178"/>
      <c r="W27" s="178"/>
      <c r="AB27" s="15"/>
      <c r="AC27" s="15"/>
      <c r="AD27" s="15"/>
      <c r="AF27" s="15"/>
      <c r="AG27" s="15"/>
      <c r="AH27" s="15"/>
      <c r="AI27" s="15"/>
      <c r="AJ27" s="15"/>
      <c r="AK27" s="15"/>
      <c r="AL27" s="15"/>
      <c r="AM27" s="15"/>
      <c r="AN27" s="15"/>
      <c r="AO27" s="15"/>
      <c r="AP27" s="15"/>
    </row>
    <row r="28" spans="1:42" x14ac:dyDescent="0.3">
      <c r="A28">
        <f t="shared" si="14"/>
        <v>2008</v>
      </c>
      <c r="B28" s="179">
        <v>39692</v>
      </c>
      <c r="C28" s="18">
        <v>157.30000000000001</v>
      </c>
      <c r="D28" s="19">
        <f t="shared" si="15"/>
        <v>113.30000000000001</v>
      </c>
      <c r="E28" s="18">
        <v>270.60000000000002</v>
      </c>
      <c r="F28" s="19">
        <v>226.5</v>
      </c>
      <c r="G28" s="18">
        <f t="shared" si="16"/>
        <v>190.60000000000002</v>
      </c>
      <c r="H28" s="19">
        <v>417.1</v>
      </c>
      <c r="I28" s="215">
        <f t="shared" si="0"/>
        <v>0.58130081300813008</v>
      </c>
      <c r="J28" s="60">
        <f t="shared" si="17"/>
        <v>0.54303524334691922</v>
      </c>
      <c r="K28" s="216">
        <f t="shared" si="18"/>
        <v>0.4098488796248046</v>
      </c>
      <c r="L28" s="15"/>
      <c r="V28" s="178"/>
      <c r="W28" s="178"/>
      <c r="AB28" s="15"/>
      <c r="AC28" s="15"/>
      <c r="AD28" s="15"/>
      <c r="AF28" s="15"/>
      <c r="AG28" s="15"/>
      <c r="AH28" s="15"/>
      <c r="AI28" s="15"/>
      <c r="AJ28" s="15"/>
      <c r="AK28" s="15"/>
      <c r="AL28" s="15"/>
      <c r="AM28" s="15"/>
      <c r="AN28" s="15"/>
      <c r="AO28" s="15"/>
      <c r="AP28" s="15"/>
    </row>
    <row r="29" spans="1:42" x14ac:dyDescent="0.3">
      <c r="A29">
        <f t="shared" si="14"/>
        <v>2008</v>
      </c>
      <c r="B29" s="179">
        <v>39783</v>
      </c>
      <c r="C29" s="186">
        <v>128.1</v>
      </c>
      <c r="D29" s="187">
        <f t="shared" si="15"/>
        <v>109.6</v>
      </c>
      <c r="E29" s="186">
        <v>237.7</v>
      </c>
      <c r="F29" s="187">
        <v>235.9</v>
      </c>
      <c r="G29" s="186">
        <f t="shared" si="16"/>
        <v>174.9</v>
      </c>
      <c r="H29" s="187">
        <v>410.8</v>
      </c>
      <c r="I29" s="221">
        <f t="shared" si="0"/>
        <v>0.53891459823306687</v>
      </c>
      <c r="J29" s="222">
        <f t="shared" si="17"/>
        <v>0.57424537487828631</v>
      </c>
      <c r="K29" s="223">
        <f t="shared" si="18"/>
        <v>0.35192307692307689</v>
      </c>
      <c r="L29" s="15"/>
      <c r="V29" s="178"/>
      <c r="W29" s="178"/>
      <c r="AB29" s="15"/>
      <c r="AC29" s="15"/>
      <c r="AD29" s="15"/>
      <c r="AF29" s="15"/>
      <c r="AG29" s="15"/>
      <c r="AH29" s="15"/>
      <c r="AI29" s="15"/>
      <c r="AJ29" s="15"/>
      <c r="AK29" s="15"/>
      <c r="AL29" s="15"/>
      <c r="AM29" s="15"/>
      <c r="AN29" s="15"/>
      <c r="AO29" s="15"/>
      <c r="AP29" s="15"/>
    </row>
    <row r="30" spans="1:42" x14ac:dyDescent="0.3">
      <c r="A30">
        <f t="shared" si="14"/>
        <v>2009</v>
      </c>
      <c r="B30" s="179">
        <v>39873</v>
      </c>
      <c r="C30" s="18">
        <v>84.4</v>
      </c>
      <c r="D30" s="19">
        <f t="shared" si="15"/>
        <v>64.400000000000006</v>
      </c>
      <c r="E30" s="18">
        <v>148.80000000000001</v>
      </c>
      <c r="F30" s="19">
        <v>139.9</v>
      </c>
      <c r="G30" s="18">
        <f t="shared" si="16"/>
        <v>114.69999999999999</v>
      </c>
      <c r="H30" s="19">
        <v>254.6</v>
      </c>
      <c r="I30" s="215">
        <f t="shared" si="0"/>
        <v>0.56720430107526876</v>
      </c>
      <c r="J30" s="60">
        <f t="shared" si="17"/>
        <v>0.54948939512961514</v>
      </c>
      <c r="K30" s="216">
        <f t="shared" si="18"/>
        <v>0.3762817654926438</v>
      </c>
      <c r="L30" s="15"/>
      <c r="V30" s="178"/>
      <c r="W30" s="178"/>
      <c r="AB30" s="15"/>
      <c r="AC30" s="15"/>
      <c r="AD30" s="15"/>
      <c r="AF30" s="15"/>
      <c r="AG30" s="15"/>
      <c r="AH30" s="15"/>
      <c r="AI30" s="15"/>
      <c r="AJ30" s="15"/>
      <c r="AK30" s="15"/>
      <c r="AL30" s="15"/>
      <c r="AM30" s="15"/>
      <c r="AN30" s="15"/>
      <c r="AO30" s="15"/>
      <c r="AP30" s="15"/>
    </row>
    <row r="31" spans="1:42" x14ac:dyDescent="0.3">
      <c r="A31">
        <f t="shared" si="14"/>
        <v>2009</v>
      </c>
      <c r="B31" s="179">
        <v>39965</v>
      </c>
      <c r="C31" s="186">
        <v>96</v>
      </c>
      <c r="D31" s="187">
        <f t="shared" si="15"/>
        <v>86.1</v>
      </c>
      <c r="E31" s="186">
        <v>182.1</v>
      </c>
      <c r="F31" s="187">
        <v>178.8</v>
      </c>
      <c r="G31" s="186">
        <f t="shared" si="16"/>
        <v>122.59999999999997</v>
      </c>
      <c r="H31" s="187">
        <v>301.39999999999998</v>
      </c>
      <c r="I31" s="221">
        <f t="shared" si="0"/>
        <v>0.52718286655683688</v>
      </c>
      <c r="J31" s="222">
        <f t="shared" si="17"/>
        <v>0.59323158593231595</v>
      </c>
      <c r="K31" s="223">
        <f t="shared" si="18"/>
        <v>0.34934497816593885</v>
      </c>
      <c r="L31" s="15"/>
      <c r="V31" s="178"/>
      <c r="W31" s="178"/>
      <c r="AB31" s="15"/>
      <c r="AC31" s="15"/>
      <c r="AD31" s="15"/>
      <c r="AF31" s="15"/>
      <c r="AG31" s="15"/>
      <c r="AH31" s="15"/>
      <c r="AI31" s="15"/>
      <c r="AJ31" s="15"/>
      <c r="AK31" s="15"/>
      <c r="AL31" s="15"/>
      <c r="AM31" s="15"/>
      <c r="AN31" s="15"/>
      <c r="AO31" s="15"/>
      <c r="AP31" s="15"/>
    </row>
    <row r="32" spans="1:42" x14ac:dyDescent="0.3">
      <c r="A32">
        <f t="shared" si="14"/>
        <v>2009</v>
      </c>
      <c r="B32" s="179">
        <v>40057</v>
      </c>
      <c r="C32" s="18">
        <v>97.9</v>
      </c>
      <c r="D32" s="19">
        <f t="shared" si="15"/>
        <v>103.9</v>
      </c>
      <c r="E32" s="18">
        <v>201.8</v>
      </c>
      <c r="F32" s="19">
        <v>201</v>
      </c>
      <c r="G32" s="18">
        <f t="shared" si="16"/>
        <v>154.5</v>
      </c>
      <c r="H32" s="19">
        <v>355.5</v>
      </c>
      <c r="I32" s="215">
        <f t="shared" si="0"/>
        <v>0.48513379583746286</v>
      </c>
      <c r="J32" s="60">
        <f t="shared" si="17"/>
        <v>0.56540084388185652</v>
      </c>
      <c r="K32" s="216">
        <f t="shared" si="18"/>
        <v>0.32753429240548682</v>
      </c>
      <c r="L32" s="15"/>
      <c r="V32" s="178"/>
      <c r="W32" s="178"/>
      <c r="AB32" s="15"/>
      <c r="AC32" s="15"/>
      <c r="AD32" s="15"/>
      <c r="AF32" s="15"/>
      <c r="AG32" s="15"/>
      <c r="AH32" s="15"/>
      <c r="AI32" s="15"/>
      <c r="AJ32" s="15"/>
      <c r="AK32" s="15"/>
      <c r="AL32" s="15"/>
      <c r="AM32" s="15"/>
      <c r="AN32" s="15"/>
      <c r="AO32" s="15"/>
      <c r="AP32" s="15"/>
    </row>
    <row r="33" spans="1:42" x14ac:dyDescent="0.3">
      <c r="A33">
        <f t="shared" si="14"/>
        <v>2009</v>
      </c>
      <c r="B33" s="179">
        <v>40148</v>
      </c>
      <c r="C33" s="186">
        <v>135.80000000000001</v>
      </c>
      <c r="D33" s="187">
        <f t="shared" si="15"/>
        <v>93.199999999999989</v>
      </c>
      <c r="E33" s="186">
        <v>229</v>
      </c>
      <c r="F33" s="187">
        <v>185.9</v>
      </c>
      <c r="G33" s="186">
        <f t="shared" si="16"/>
        <v>163.79999999999998</v>
      </c>
      <c r="H33" s="187">
        <v>349.7</v>
      </c>
      <c r="I33" s="221">
        <f t="shared" si="0"/>
        <v>0.59301310043668132</v>
      </c>
      <c r="J33" s="222">
        <f t="shared" si="17"/>
        <v>0.53159851301115246</v>
      </c>
      <c r="K33" s="223">
        <f t="shared" si="18"/>
        <v>0.42213242151072428</v>
      </c>
      <c r="L33" s="15"/>
      <c r="V33" s="178"/>
      <c r="W33" s="178"/>
      <c r="AB33" s="15"/>
      <c r="AC33" s="15"/>
      <c r="AD33" s="15"/>
      <c r="AF33" s="15"/>
      <c r="AG33" s="15"/>
      <c r="AH33" s="15"/>
      <c r="AI33" s="15"/>
      <c r="AJ33" s="15"/>
      <c r="AK33" s="15"/>
      <c r="AL33" s="15"/>
      <c r="AM33" s="15"/>
      <c r="AN33" s="15"/>
      <c r="AO33" s="15"/>
      <c r="AP33" s="15"/>
    </row>
    <row r="34" spans="1:42" x14ac:dyDescent="0.3">
      <c r="A34">
        <f t="shared" si="14"/>
        <v>2010</v>
      </c>
      <c r="B34" s="179">
        <v>40238</v>
      </c>
      <c r="C34" s="18">
        <v>101.8</v>
      </c>
      <c r="D34" s="19">
        <f t="shared" si="15"/>
        <v>71.600000000000009</v>
      </c>
      <c r="E34" s="18">
        <v>173.4</v>
      </c>
      <c r="F34" s="19">
        <v>155.30000000000001</v>
      </c>
      <c r="G34" s="18">
        <f t="shared" si="16"/>
        <v>130.59999999999997</v>
      </c>
      <c r="H34" s="19">
        <v>285.89999999999998</v>
      </c>
      <c r="I34" s="215">
        <f t="shared" si="0"/>
        <v>0.58708189158016144</v>
      </c>
      <c r="J34" s="60">
        <f t="shared" si="17"/>
        <v>0.54319692200069958</v>
      </c>
      <c r="K34" s="216">
        <f t="shared" si="18"/>
        <v>0.39595488136911705</v>
      </c>
      <c r="L34" s="15"/>
      <c r="V34" s="178"/>
      <c r="W34" s="178"/>
      <c r="AB34" s="15"/>
      <c r="AC34" s="15"/>
      <c r="AD34" s="15"/>
      <c r="AF34" s="15"/>
      <c r="AG34" s="15"/>
      <c r="AH34" s="15"/>
      <c r="AI34" s="15"/>
      <c r="AJ34" s="15"/>
      <c r="AK34" s="15"/>
      <c r="AL34" s="15"/>
      <c r="AM34" s="15"/>
      <c r="AN34" s="15"/>
      <c r="AO34" s="15"/>
      <c r="AP34" s="15"/>
    </row>
    <row r="35" spans="1:42" x14ac:dyDescent="0.3">
      <c r="A35">
        <f t="shared" si="14"/>
        <v>2010</v>
      </c>
      <c r="B35" s="179">
        <v>40330</v>
      </c>
      <c r="C35" s="186">
        <v>147.69999999999999</v>
      </c>
      <c r="D35" s="187">
        <f t="shared" si="15"/>
        <v>101.5</v>
      </c>
      <c r="E35" s="186">
        <v>249.2</v>
      </c>
      <c r="F35" s="187">
        <v>218.5</v>
      </c>
      <c r="G35" s="186">
        <f t="shared" si="16"/>
        <v>169.39999999999998</v>
      </c>
      <c r="H35" s="187">
        <v>387.9</v>
      </c>
      <c r="I35" s="221">
        <f t="shared" si="0"/>
        <v>0.59269662921348309</v>
      </c>
      <c r="J35" s="222">
        <f t="shared" si="17"/>
        <v>0.56328950760505292</v>
      </c>
      <c r="K35" s="223">
        <f t="shared" si="18"/>
        <v>0.40333151283451663</v>
      </c>
      <c r="L35" s="15"/>
      <c r="V35" s="178"/>
      <c r="W35" s="178"/>
      <c r="AB35" s="15"/>
      <c r="AC35" s="15"/>
      <c r="AD35" s="15"/>
      <c r="AF35" s="15"/>
      <c r="AG35" s="15"/>
      <c r="AH35" s="15"/>
      <c r="AI35" s="15"/>
      <c r="AJ35" s="15"/>
      <c r="AK35" s="15"/>
      <c r="AL35" s="15"/>
      <c r="AM35" s="15"/>
      <c r="AN35" s="15"/>
      <c r="AO35" s="15"/>
      <c r="AP35" s="15"/>
    </row>
    <row r="36" spans="1:42" x14ac:dyDescent="0.3">
      <c r="A36">
        <f t="shared" si="14"/>
        <v>2010</v>
      </c>
      <c r="B36" s="179">
        <v>40422</v>
      </c>
      <c r="C36" s="18">
        <v>135.4</v>
      </c>
      <c r="D36" s="19">
        <f t="shared" si="15"/>
        <v>105.5</v>
      </c>
      <c r="E36" s="18">
        <v>240.9</v>
      </c>
      <c r="F36" s="19">
        <v>249.2</v>
      </c>
      <c r="G36" s="18">
        <f t="shared" si="16"/>
        <v>179.3</v>
      </c>
      <c r="H36" s="19">
        <v>428.5</v>
      </c>
      <c r="I36" s="215">
        <f t="shared" si="0"/>
        <v>0.56205894562058945</v>
      </c>
      <c r="J36" s="60">
        <f t="shared" si="17"/>
        <v>0.58156359393232204</v>
      </c>
      <c r="K36" s="216">
        <f t="shared" si="18"/>
        <v>0.35205408216328654</v>
      </c>
      <c r="L36" s="15"/>
      <c r="V36" s="178"/>
      <c r="W36" s="178"/>
      <c r="AB36" s="15"/>
      <c r="AC36" s="15"/>
      <c r="AD36" s="15"/>
      <c r="AF36" s="15"/>
      <c r="AG36" s="15"/>
      <c r="AH36" s="15"/>
      <c r="AI36" s="15"/>
      <c r="AJ36" s="15"/>
      <c r="AK36" s="15"/>
      <c r="AL36" s="15"/>
      <c r="AM36" s="15"/>
      <c r="AN36" s="15"/>
      <c r="AO36" s="15"/>
      <c r="AP36" s="15"/>
    </row>
    <row r="37" spans="1:42" x14ac:dyDescent="0.3">
      <c r="A37">
        <f t="shared" si="14"/>
        <v>2010</v>
      </c>
      <c r="B37" s="179">
        <v>40513</v>
      </c>
      <c r="C37" s="186">
        <v>166</v>
      </c>
      <c r="D37" s="187">
        <f t="shared" si="15"/>
        <v>123.5</v>
      </c>
      <c r="E37" s="186">
        <v>289.5</v>
      </c>
      <c r="F37" s="187">
        <v>227.7</v>
      </c>
      <c r="G37" s="186">
        <f t="shared" si="16"/>
        <v>207.2</v>
      </c>
      <c r="H37" s="187">
        <v>434.9</v>
      </c>
      <c r="I37" s="221">
        <f t="shared" si="0"/>
        <v>0.57340241796200342</v>
      </c>
      <c r="J37" s="222">
        <f t="shared" si="17"/>
        <v>0.52356863646815355</v>
      </c>
      <c r="K37" s="223">
        <f t="shared" si="18"/>
        <v>0.42164084328168655</v>
      </c>
      <c r="L37" s="15"/>
      <c r="V37" s="178"/>
      <c r="W37" s="178"/>
      <c r="AB37" s="15"/>
      <c r="AC37" s="15"/>
      <c r="AD37" s="15"/>
      <c r="AF37" s="15"/>
      <c r="AG37" s="15"/>
      <c r="AH37" s="15"/>
      <c r="AI37" s="15"/>
      <c r="AJ37" s="15"/>
      <c r="AK37" s="15"/>
      <c r="AL37" s="15"/>
      <c r="AM37" s="15"/>
      <c r="AN37" s="15"/>
      <c r="AO37" s="15"/>
      <c r="AP37" s="15"/>
    </row>
    <row r="38" spans="1:42" x14ac:dyDescent="0.3">
      <c r="A38">
        <f t="shared" si="14"/>
        <v>2011</v>
      </c>
      <c r="B38" s="179">
        <v>40603</v>
      </c>
      <c r="C38" s="18">
        <v>119</v>
      </c>
      <c r="D38" s="19">
        <f t="shared" si="15"/>
        <v>96</v>
      </c>
      <c r="E38" s="18">
        <v>215</v>
      </c>
      <c r="F38" s="19">
        <v>243.2</v>
      </c>
      <c r="G38" s="18">
        <f t="shared" si="16"/>
        <v>191.90000000000003</v>
      </c>
      <c r="H38" s="19">
        <v>435.1</v>
      </c>
      <c r="I38" s="215">
        <f t="shared" si="0"/>
        <v>0.55348837209302326</v>
      </c>
      <c r="J38" s="60">
        <f t="shared" si="17"/>
        <v>0.55895196506550215</v>
      </c>
      <c r="K38" s="216">
        <f t="shared" si="18"/>
        <v>0.32854776366648264</v>
      </c>
      <c r="L38" s="15"/>
      <c r="V38" s="178"/>
      <c r="W38" s="178"/>
      <c r="AB38" s="15"/>
      <c r="AC38" s="15"/>
      <c r="AD38" s="15"/>
      <c r="AF38" s="15"/>
      <c r="AG38" s="15"/>
      <c r="AH38" s="15"/>
      <c r="AI38" s="15"/>
      <c r="AJ38" s="15"/>
      <c r="AK38" s="15"/>
      <c r="AL38" s="15"/>
      <c r="AM38" s="15"/>
      <c r="AN38" s="15"/>
      <c r="AO38" s="15"/>
      <c r="AP38" s="15"/>
    </row>
    <row r="39" spans="1:42" x14ac:dyDescent="0.3">
      <c r="A39">
        <f t="shared" si="14"/>
        <v>2011</v>
      </c>
      <c r="B39" s="179">
        <v>40695</v>
      </c>
      <c r="C39" s="186">
        <v>146</v>
      </c>
      <c r="D39" s="187">
        <f t="shared" si="15"/>
        <v>146.10000000000002</v>
      </c>
      <c r="E39" s="186">
        <v>292.10000000000002</v>
      </c>
      <c r="F39" s="187">
        <v>303.60000000000002</v>
      </c>
      <c r="G39" s="186">
        <f t="shared" si="16"/>
        <v>311.69999999999993</v>
      </c>
      <c r="H39" s="187">
        <v>615.29999999999995</v>
      </c>
      <c r="I39" s="221">
        <f t="shared" si="0"/>
        <v>0.49982882574460796</v>
      </c>
      <c r="J39" s="222">
        <f t="shared" si="17"/>
        <v>0.49341784495368118</v>
      </c>
      <c r="K39" s="223">
        <f t="shared" si="18"/>
        <v>0.32473309608540923</v>
      </c>
      <c r="L39" s="15"/>
      <c r="V39" s="178"/>
      <c r="W39" s="178"/>
      <c r="AB39" s="15"/>
      <c r="AC39" s="15"/>
      <c r="AD39" s="15"/>
      <c r="AF39" s="15"/>
      <c r="AG39" s="15"/>
      <c r="AH39" s="15"/>
      <c r="AI39" s="15"/>
      <c r="AJ39" s="15"/>
      <c r="AK39" s="15"/>
      <c r="AL39" s="15"/>
      <c r="AM39" s="15"/>
      <c r="AN39" s="15"/>
      <c r="AO39" s="15"/>
      <c r="AP39" s="15"/>
    </row>
    <row r="40" spans="1:42" x14ac:dyDescent="0.3">
      <c r="A40">
        <f t="shared" si="14"/>
        <v>2011</v>
      </c>
      <c r="B40" s="179">
        <v>40787</v>
      </c>
      <c r="C40" s="18">
        <v>144.80000000000001</v>
      </c>
      <c r="D40" s="19">
        <f t="shared" si="15"/>
        <v>168.3</v>
      </c>
      <c r="E40" s="18">
        <v>313.10000000000002</v>
      </c>
      <c r="F40" s="19">
        <v>336.9</v>
      </c>
      <c r="G40" s="18">
        <f t="shared" si="16"/>
        <v>333.4</v>
      </c>
      <c r="H40" s="19">
        <v>670.3</v>
      </c>
      <c r="I40" s="215">
        <f t="shared" si="0"/>
        <v>0.46247205365697858</v>
      </c>
      <c r="J40" s="60">
        <f t="shared" si="17"/>
        <v>0.50261077129643439</v>
      </c>
      <c r="K40" s="216">
        <f t="shared" si="18"/>
        <v>0.30060203446128297</v>
      </c>
      <c r="L40" s="15"/>
      <c r="V40" s="178"/>
      <c r="W40" s="178"/>
      <c r="AB40" s="15"/>
      <c r="AC40" s="15"/>
      <c r="AD40" s="15"/>
      <c r="AF40" s="15"/>
      <c r="AG40" s="15"/>
      <c r="AH40" s="15"/>
      <c r="AI40" s="15"/>
      <c r="AJ40" s="15"/>
      <c r="AK40" s="15"/>
      <c r="AL40" s="15"/>
      <c r="AM40" s="15"/>
      <c r="AN40" s="15"/>
      <c r="AO40" s="15"/>
      <c r="AP40" s="15"/>
    </row>
    <row r="41" spans="1:42" x14ac:dyDescent="0.3">
      <c r="A41">
        <f t="shared" si="14"/>
        <v>2011</v>
      </c>
      <c r="B41" s="179">
        <v>40878</v>
      </c>
      <c r="C41" s="186">
        <v>152.19999999999999</v>
      </c>
      <c r="D41" s="187">
        <f t="shared" si="15"/>
        <v>171.40000000000003</v>
      </c>
      <c r="E41" s="186">
        <v>323.60000000000002</v>
      </c>
      <c r="F41" s="187">
        <v>379.7</v>
      </c>
      <c r="G41" s="186">
        <f t="shared" si="16"/>
        <v>329.09999999999997</v>
      </c>
      <c r="H41" s="187">
        <v>708.8</v>
      </c>
      <c r="I41" s="221">
        <f t="shared" si="0"/>
        <v>0.47033374536464767</v>
      </c>
      <c r="J41" s="222">
        <f t="shared" si="17"/>
        <v>0.53569413092550788</v>
      </c>
      <c r="K41" s="223">
        <f t="shared" si="18"/>
        <v>0.28614401203233691</v>
      </c>
      <c r="L41" s="15"/>
      <c r="V41" s="178"/>
      <c r="W41" s="178"/>
      <c r="AB41" s="15"/>
      <c r="AC41" s="15"/>
      <c r="AD41" s="15"/>
      <c r="AF41" s="15"/>
      <c r="AG41" s="15"/>
      <c r="AH41" s="15"/>
      <c r="AI41" s="15"/>
      <c r="AJ41" s="15"/>
      <c r="AK41" s="15"/>
      <c r="AL41" s="15"/>
      <c r="AM41" s="15"/>
      <c r="AN41" s="15"/>
      <c r="AO41" s="15"/>
      <c r="AP41" s="15"/>
    </row>
    <row r="42" spans="1:42" x14ac:dyDescent="0.3">
      <c r="A42">
        <f t="shared" si="14"/>
        <v>2012</v>
      </c>
      <c r="B42" s="179">
        <v>40969</v>
      </c>
      <c r="C42" s="18">
        <v>126.5</v>
      </c>
      <c r="D42" s="19">
        <f t="shared" si="15"/>
        <v>122.1</v>
      </c>
      <c r="E42" s="18">
        <v>248.6</v>
      </c>
      <c r="F42" s="19">
        <v>363.6</v>
      </c>
      <c r="G42" s="18">
        <f t="shared" si="16"/>
        <v>263.89999999999998</v>
      </c>
      <c r="H42" s="19">
        <v>627.5</v>
      </c>
      <c r="I42" s="215">
        <f t="shared" si="0"/>
        <v>0.50884955752212391</v>
      </c>
      <c r="J42" s="60">
        <f t="shared" si="17"/>
        <v>0.57944223107569726</v>
      </c>
      <c r="K42" s="216">
        <f t="shared" si="18"/>
        <v>0.25811058967557637</v>
      </c>
      <c r="L42" s="15"/>
      <c r="V42" s="178"/>
      <c r="W42" s="178"/>
      <c r="AB42" s="15"/>
      <c r="AC42" s="15"/>
      <c r="AD42" s="15"/>
      <c r="AF42" s="15"/>
      <c r="AG42" s="15"/>
      <c r="AH42" s="15"/>
      <c r="AI42" s="15"/>
      <c r="AJ42" s="15"/>
      <c r="AK42" s="15"/>
      <c r="AL42" s="15"/>
      <c r="AM42" s="15"/>
      <c r="AN42" s="15"/>
      <c r="AO42" s="15"/>
      <c r="AP42" s="15"/>
    </row>
    <row r="43" spans="1:42" x14ac:dyDescent="0.3">
      <c r="A43">
        <f t="shared" si="14"/>
        <v>2012</v>
      </c>
      <c r="B43" s="179">
        <v>41061</v>
      </c>
      <c r="C43" s="186">
        <v>213.5</v>
      </c>
      <c r="D43" s="187">
        <f t="shared" si="15"/>
        <v>144.19999999999999</v>
      </c>
      <c r="E43" s="186">
        <v>357.7</v>
      </c>
      <c r="F43" s="187">
        <v>389.7</v>
      </c>
      <c r="G43" s="186">
        <f t="shared" si="16"/>
        <v>313.7</v>
      </c>
      <c r="H43" s="187">
        <v>703.4</v>
      </c>
      <c r="I43" s="221">
        <f t="shared" si="0"/>
        <v>0.59686888454011744</v>
      </c>
      <c r="J43" s="222">
        <f t="shared" si="17"/>
        <v>0.55402331532556159</v>
      </c>
      <c r="K43" s="223">
        <f t="shared" si="18"/>
        <v>0.35394562334217505</v>
      </c>
      <c r="L43" s="15"/>
      <c r="V43" s="178"/>
      <c r="W43" s="178"/>
      <c r="AB43" s="15"/>
      <c r="AC43" s="15"/>
      <c r="AD43" s="15"/>
      <c r="AF43" s="15"/>
      <c r="AG43" s="15"/>
      <c r="AH43" s="15"/>
      <c r="AI43" s="15"/>
      <c r="AJ43" s="15"/>
      <c r="AK43" s="15"/>
      <c r="AL43" s="15"/>
      <c r="AM43" s="15"/>
      <c r="AN43" s="15"/>
      <c r="AO43" s="15"/>
      <c r="AP43" s="15"/>
    </row>
    <row r="44" spans="1:42" x14ac:dyDescent="0.3">
      <c r="A44">
        <f t="shared" si="14"/>
        <v>2012</v>
      </c>
      <c r="B44" s="179">
        <v>41153</v>
      </c>
      <c r="C44" s="18">
        <v>179.5</v>
      </c>
      <c r="D44" s="19">
        <f t="shared" si="15"/>
        <v>123.5</v>
      </c>
      <c r="E44" s="18">
        <v>303</v>
      </c>
      <c r="F44" s="19">
        <v>309.10000000000002</v>
      </c>
      <c r="G44" s="18">
        <f t="shared" si="16"/>
        <v>282.60000000000002</v>
      </c>
      <c r="H44" s="19">
        <v>591.70000000000005</v>
      </c>
      <c r="I44" s="215">
        <f t="shared" si="0"/>
        <v>0.59240924092409242</v>
      </c>
      <c r="J44" s="60">
        <f t="shared" si="17"/>
        <v>0.5223931046138246</v>
      </c>
      <c r="K44" s="216">
        <f t="shared" si="18"/>
        <v>0.36737617683176421</v>
      </c>
      <c r="L44" s="15"/>
      <c r="V44" s="178"/>
      <c r="W44" s="178"/>
      <c r="AB44" s="15"/>
      <c r="AC44" s="15"/>
      <c r="AD44" s="15"/>
      <c r="AF44" s="15"/>
      <c r="AG44" s="15"/>
      <c r="AH44" s="15"/>
      <c r="AI44" s="15"/>
      <c r="AJ44" s="15"/>
      <c r="AK44" s="15"/>
      <c r="AL44" s="15"/>
      <c r="AM44" s="15"/>
      <c r="AN44" s="15"/>
      <c r="AO44" s="15"/>
      <c r="AP44" s="15"/>
    </row>
    <row r="45" spans="1:42" x14ac:dyDescent="0.3">
      <c r="A45">
        <f t="shared" si="14"/>
        <v>2012</v>
      </c>
      <c r="B45" s="179">
        <v>41244</v>
      </c>
      <c r="C45" s="186">
        <v>144.5</v>
      </c>
      <c r="D45" s="187">
        <f t="shared" si="15"/>
        <v>118.89999999999998</v>
      </c>
      <c r="E45" s="186">
        <v>263.39999999999998</v>
      </c>
      <c r="F45" s="187">
        <v>326.2</v>
      </c>
      <c r="G45" s="186">
        <f t="shared" si="16"/>
        <v>234.40000000000003</v>
      </c>
      <c r="H45" s="187">
        <v>560.6</v>
      </c>
      <c r="I45" s="221">
        <f t="shared" si="0"/>
        <v>0.54859529233105553</v>
      </c>
      <c r="J45" s="222">
        <f t="shared" si="17"/>
        <v>0.58187656082768457</v>
      </c>
      <c r="K45" s="223">
        <f t="shared" si="18"/>
        <v>0.30698958997238157</v>
      </c>
      <c r="L45" s="15"/>
      <c r="V45" s="178"/>
      <c r="W45" s="178"/>
      <c r="AB45" s="15"/>
      <c r="AC45" s="15"/>
      <c r="AD45" s="15"/>
      <c r="AF45" s="15"/>
      <c r="AG45" s="15"/>
      <c r="AH45" s="15"/>
      <c r="AI45" s="15"/>
      <c r="AJ45" s="15"/>
      <c r="AK45" s="15"/>
      <c r="AL45" s="15"/>
      <c r="AM45" s="15"/>
      <c r="AN45" s="15"/>
      <c r="AO45" s="15"/>
      <c r="AP45" s="15"/>
    </row>
    <row r="46" spans="1:42" x14ac:dyDescent="0.3">
      <c r="A46">
        <f t="shared" si="14"/>
        <v>2013</v>
      </c>
      <c r="B46" s="179">
        <v>41334</v>
      </c>
      <c r="C46" s="18">
        <v>91.3</v>
      </c>
      <c r="D46" s="19">
        <f t="shared" si="15"/>
        <v>85.000000000000014</v>
      </c>
      <c r="E46" s="18">
        <v>176.3</v>
      </c>
      <c r="F46" s="19">
        <v>330.5</v>
      </c>
      <c r="G46" s="18">
        <f t="shared" si="16"/>
        <v>165.39999999999998</v>
      </c>
      <c r="H46" s="19">
        <v>495.9</v>
      </c>
      <c r="I46" s="215">
        <f t="shared" si="0"/>
        <v>0.51786727169597269</v>
      </c>
      <c r="J46" s="60">
        <f t="shared" si="17"/>
        <v>0.66646501310748141</v>
      </c>
      <c r="K46" s="216">
        <f t="shared" si="18"/>
        <v>0.2164532954006638</v>
      </c>
      <c r="L46" s="15"/>
      <c r="V46" s="178"/>
      <c r="W46" s="178"/>
      <c r="AB46" s="15"/>
      <c r="AC46" s="15"/>
      <c r="AD46" s="15"/>
      <c r="AF46" s="15"/>
      <c r="AG46" s="15"/>
      <c r="AH46" s="15"/>
      <c r="AI46" s="15"/>
      <c r="AJ46" s="15"/>
      <c r="AK46" s="15"/>
      <c r="AL46" s="15"/>
      <c r="AM46" s="15"/>
      <c r="AN46" s="15"/>
      <c r="AO46" s="15"/>
      <c r="AP46" s="15"/>
    </row>
    <row r="47" spans="1:42" x14ac:dyDescent="0.3">
      <c r="A47">
        <f t="shared" si="14"/>
        <v>2013</v>
      </c>
      <c r="B47" s="179">
        <v>41426</v>
      </c>
      <c r="C47" s="186">
        <v>158.5</v>
      </c>
      <c r="D47" s="187">
        <f t="shared" si="15"/>
        <v>117.19999999999999</v>
      </c>
      <c r="E47" s="186">
        <v>275.7</v>
      </c>
      <c r="F47" s="187">
        <v>223.8</v>
      </c>
      <c r="G47" s="186">
        <f t="shared" si="16"/>
        <v>165.09999999999997</v>
      </c>
      <c r="H47" s="187">
        <v>388.9</v>
      </c>
      <c r="I47" s="221">
        <f t="shared" si="0"/>
        <v>0.57490025389916577</v>
      </c>
      <c r="J47" s="222">
        <f t="shared" si="17"/>
        <v>0.57546927230650557</v>
      </c>
      <c r="K47" s="223">
        <f t="shared" si="18"/>
        <v>0.41459586712006274</v>
      </c>
      <c r="L47" s="15"/>
      <c r="V47" s="178"/>
      <c r="W47" s="178"/>
      <c r="AB47" s="15"/>
      <c r="AC47" s="15"/>
      <c r="AD47" s="15"/>
      <c r="AF47" s="15"/>
      <c r="AG47" s="15"/>
      <c r="AH47" s="15"/>
      <c r="AI47" s="15"/>
      <c r="AJ47" s="15"/>
      <c r="AK47" s="15"/>
      <c r="AL47" s="15"/>
      <c r="AM47" s="15"/>
      <c r="AN47" s="15"/>
      <c r="AO47" s="15"/>
      <c r="AP47" s="15"/>
    </row>
    <row r="48" spans="1:42" x14ac:dyDescent="0.3">
      <c r="A48">
        <f t="shared" si="14"/>
        <v>2013</v>
      </c>
      <c r="B48" s="179">
        <v>41518</v>
      </c>
      <c r="C48" s="18">
        <v>148</v>
      </c>
      <c r="D48" s="19">
        <f t="shared" si="15"/>
        <v>93.9</v>
      </c>
      <c r="E48" s="18">
        <v>241.9</v>
      </c>
      <c r="F48" s="19">
        <v>247.8</v>
      </c>
      <c r="G48" s="18">
        <f t="shared" si="16"/>
        <v>148.69999999999999</v>
      </c>
      <c r="H48" s="19">
        <v>396.5</v>
      </c>
      <c r="I48" s="215">
        <f t="shared" si="0"/>
        <v>0.61182306738321623</v>
      </c>
      <c r="J48" s="60">
        <f t="shared" si="17"/>
        <v>0.62496847414880208</v>
      </c>
      <c r="K48" s="216">
        <f t="shared" si="18"/>
        <v>0.37392622536634662</v>
      </c>
      <c r="L48" s="15"/>
      <c r="N48" s="157"/>
      <c r="O48" s="157"/>
      <c r="P48" s="157"/>
      <c r="Q48" s="157"/>
      <c r="R48" s="157"/>
      <c r="S48" s="157"/>
      <c r="T48" s="157"/>
      <c r="U48" s="157"/>
      <c r="V48" s="178"/>
      <c r="W48" s="178"/>
      <c r="AB48" s="15"/>
      <c r="AC48" s="15"/>
      <c r="AD48" s="15"/>
      <c r="AF48" s="15"/>
      <c r="AG48" s="15"/>
      <c r="AH48" s="15"/>
      <c r="AI48" s="15"/>
      <c r="AJ48" s="15"/>
      <c r="AK48" s="15"/>
      <c r="AL48" s="15"/>
      <c r="AM48" s="15"/>
      <c r="AN48" s="15"/>
      <c r="AO48" s="15"/>
      <c r="AP48" s="15"/>
    </row>
    <row r="49" spans="1:42" x14ac:dyDescent="0.3">
      <c r="A49">
        <f t="shared" si="14"/>
        <v>2013</v>
      </c>
      <c r="B49" s="179">
        <v>41609</v>
      </c>
      <c r="C49" s="186">
        <v>86.8</v>
      </c>
      <c r="D49" s="187">
        <f t="shared" si="15"/>
        <v>88.8</v>
      </c>
      <c r="E49" s="186">
        <v>175.6</v>
      </c>
      <c r="F49" s="187">
        <v>221.5</v>
      </c>
      <c r="G49" s="186">
        <f t="shared" si="16"/>
        <v>150.30000000000001</v>
      </c>
      <c r="H49" s="187">
        <v>371.8</v>
      </c>
      <c r="I49" s="221">
        <f t="shared" si="0"/>
        <v>0.49430523917995445</v>
      </c>
      <c r="J49" s="222">
        <f t="shared" si="17"/>
        <v>0.59575040344271113</v>
      </c>
      <c r="K49" s="223">
        <f t="shared" si="18"/>
        <v>0.28154395069737265</v>
      </c>
      <c r="L49" s="15"/>
      <c r="N49" s="157"/>
      <c r="O49" s="157"/>
      <c r="P49" s="157"/>
      <c r="Q49" s="157"/>
      <c r="R49" s="157"/>
      <c r="S49" s="157"/>
      <c r="T49" s="157"/>
      <c r="U49" s="157"/>
      <c r="V49" s="178"/>
      <c r="W49" s="178"/>
      <c r="AB49" s="15"/>
      <c r="AC49" s="15"/>
      <c r="AD49" s="15"/>
      <c r="AF49" s="15"/>
      <c r="AG49" s="15"/>
      <c r="AH49" s="15"/>
      <c r="AI49" s="15"/>
      <c r="AJ49" s="15"/>
      <c r="AK49" s="15"/>
      <c r="AL49" s="15"/>
      <c r="AM49" s="15"/>
      <c r="AN49" s="15"/>
      <c r="AO49" s="15"/>
      <c r="AP49" s="15"/>
    </row>
    <row r="50" spans="1:42" x14ac:dyDescent="0.3">
      <c r="A50">
        <f t="shared" si="14"/>
        <v>2014</v>
      </c>
      <c r="B50" s="179">
        <v>41699</v>
      </c>
      <c r="C50" s="18">
        <v>53.3</v>
      </c>
      <c r="D50" s="19">
        <f t="shared" si="15"/>
        <v>67.5</v>
      </c>
      <c r="E50" s="18">
        <v>120.8</v>
      </c>
      <c r="F50" s="19">
        <v>153</v>
      </c>
      <c r="G50" s="18">
        <f t="shared" si="16"/>
        <v>133.80000000000001</v>
      </c>
      <c r="H50" s="19">
        <v>286.8</v>
      </c>
      <c r="I50" s="215">
        <f t="shared" si="0"/>
        <v>0.44122516556291391</v>
      </c>
      <c r="J50" s="60">
        <f t="shared" si="17"/>
        <v>0.53347280334728031</v>
      </c>
      <c r="K50" s="216">
        <f t="shared" si="18"/>
        <v>0.25836160930683466</v>
      </c>
      <c r="L50" s="15"/>
      <c r="N50" s="157"/>
      <c r="O50" s="157"/>
      <c r="P50" s="157"/>
      <c r="Q50" s="157"/>
      <c r="R50" s="157"/>
      <c r="S50" s="157"/>
      <c r="T50" s="157"/>
      <c r="U50" s="157"/>
      <c r="V50" s="178"/>
      <c r="W50" s="178"/>
      <c r="AB50" s="15"/>
      <c r="AC50" s="15"/>
      <c r="AD50" s="15"/>
      <c r="AF50" s="15"/>
      <c r="AG50" s="15"/>
      <c r="AH50" s="15"/>
      <c r="AI50" s="15"/>
      <c r="AJ50" s="15"/>
      <c r="AK50" s="15"/>
      <c r="AL50" s="15"/>
      <c r="AM50" s="15"/>
      <c r="AN50" s="15"/>
      <c r="AO50" s="15"/>
      <c r="AP50" s="15"/>
    </row>
    <row r="51" spans="1:42" x14ac:dyDescent="0.3">
      <c r="A51">
        <f t="shared" si="14"/>
        <v>2014</v>
      </c>
      <c r="B51" s="179">
        <v>41791</v>
      </c>
      <c r="C51" s="186">
        <v>92.9</v>
      </c>
      <c r="D51" s="187">
        <f t="shared" si="15"/>
        <v>50.699999999999989</v>
      </c>
      <c r="E51" s="186">
        <v>143.6</v>
      </c>
      <c r="F51" s="187">
        <v>216.8</v>
      </c>
      <c r="G51" s="186">
        <f t="shared" si="16"/>
        <v>154.19999999999999</v>
      </c>
      <c r="H51" s="187">
        <v>371</v>
      </c>
      <c r="I51" s="221">
        <f t="shared" si="0"/>
        <v>0.64693593314763242</v>
      </c>
      <c r="J51" s="222">
        <f t="shared" si="17"/>
        <v>0.58436657681940707</v>
      </c>
      <c r="K51" s="223">
        <f t="shared" si="18"/>
        <v>0.29996771068776235</v>
      </c>
      <c r="L51" s="15"/>
      <c r="N51" s="157"/>
      <c r="O51" s="157"/>
      <c r="P51" s="157"/>
      <c r="Q51" s="157"/>
      <c r="R51" s="157"/>
      <c r="S51" s="157"/>
      <c r="T51" s="157"/>
      <c r="U51" s="157"/>
      <c r="V51" s="178"/>
      <c r="W51" s="178"/>
      <c r="AB51" s="15"/>
      <c r="AC51" s="15"/>
      <c r="AD51" s="15"/>
      <c r="AF51" s="15"/>
      <c r="AG51" s="15"/>
      <c r="AH51" s="15"/>
      <c r="AI51" s="15"/>
      <c r="AJ51" s="15"/>
      <c r="AK51" s="15"/>
      <c r="AL51" s="15"/>
      <c r="AM51" s="15"/>
      <c r="AN51" s="15"/>
      <c r="AO51" s="15"/>
      <c r="AP51" s="15"/>
    </row>
    <row r="52" spans="1:42" x14ac:dyDescent="0.3">
      <c r="A52">
        <f t="shared" si="14"/>
        <v>2014</v>
      </c>
      <c r="B52" s="179">
        <v>41883</v>
      </c>
      <c r="C52" s="18">
        <v>69.900000000000006</v>
      </c>
      <c r="D52" s="19">
        <f t="shared" si="15"/>
        <v>59.799999999999983</v>
      </c>
      <c r="E52" s="18">
        <v>129.69999999999999</v>
      </c>
      <c r="F52" s="19">
        <v>197.2</v>
      </c>
      <c r="G52" s="18">
        <f t="shared" si="16"/>
        <v>130.90000000000003</v>
      </c>
      <c r="H52" s="19">
        <v>328.1</v>
      </c>
      <c r="I52" s="215">
        <f t="shared" si="0"/>
        <v>0.53893600616808024</v>
      </c>
      <c r="J52" s="60">
        <f t="shared" si="17"/>
        <v>0.60103626943005173</v>
      </c>
      <c r="K52" s="216">
        <f t="shared" si="18"/>
        <v>0.26169973792587048</v>
      </c>
      <c r="L52" s="15"/>
      <c r="N52" s="157"/>
      <c r="O52" s="157"/>
      <c r="P52" s="157"/>
      <c r="Q52" s="157"/>
      <c r="R52" s="157"/>
      <c r="S52" s="157"/>
      <c r="T52" s="157"/>
      <c r="U52" s="157"/>
      <c r="V52" s="178"/>
      <c r="W52" s="178"/>
      <c r="AB52" s="15"/>
      <c r="AC52" s="15"/>
      <c r="AD52" s="15"/>
      <c r="AF52" s="15"/>
      <c r="AG52" s="15"/>
      <c r="AH52" s="15"/>
      <c r="AI52" s="15"/>
      <c r="AJ52" s="15"/>
      <c r="AK52" s="15"/>
      <c r="AL52" s="15"/>
      <c r="AM52" s="15"/>
      <c r="AN52" s="15"/>
      <c r="AO52" s="15"/>
      <c r="AP52" s="15"/>
    </row>
    <row r="53" spans="1:42" x14ac:dyDescent="0.3">
      <c r="A53">
        <f t="shared" si="14"/>
        <v>2014</v>
      </c>
      <c r="B53" s="179">
        <v>41974</v>
      </c>
      <c r="C53" s="186">
        <v>73.900000000000006</v>
      </c>
      <c r="D53" s="187">
        <f t="shared" si="15"/>
        <v>76.900000000000006</v>
      </c>
      <c r="E53" s="186">
        <v>150.80000000000001</v>
      </c>
      <c r="F53" s="187">
        <v>188.4</v>
      </c>
      <c r="G53" s="186">
        <f t="shared" si="16"/>
        <v>120.1</v>
      </c>
      <c r="H53" s="187">
        <v>308.5</v>
      </c>
      <c r="I53" s="221">
        <f t="shared" si="0"/>
        <v>0.490053050397878</v>
      </c>
      <c r="J53" s="222">
        <f t="shared" si="17"/>
        <v>0.61069692058346836</v>
      </c>
      <c r="K53" s="223">
        <f t="shared" si="18"/>
        <v>0.2817384674037362</v>
      </c>
      <c r="L53" s="15"/>
      <c r="N53" s="157"/>
      <c r="O53" s="157"/>
      <c r="P53" s="157"/>
      <c r="Q53" s="157"/>
      <c r="R53" s="157"/>
      <c r="S53" s="157"/>
      <c r="T53" s="157"/>
      <c r="U53" s="157"/>
      <c r="V53" s="178"/>
      <c r="W53" s="178"/>
      <c r="AB53" s="15"/>
      <c r="AC53" s="15"/>
      <c r="AD53" s="15"/>
      <c r="AF53" s="15"/>
      <c r="AG53" s="15"/>
      <c r="AH53" s="15"/>
      <c r="AI53" s="15"/>
      <c r="AJ53" s="15"/>
      <c r="AK53" s="15"/>
      <c r="AL53" s="15"/>
      <c r="AM53" s="15"/>
      <c r="AN53" s="15"/>
      <c r="AO53" s="15"/>
      <c r="AP53" s="15"/>
    </row>
    <row r="54" spans="1:42" x14ac:dyDescent="0.3">
      <c r="A54">
        <f t="shared" si="14"/>
        <v>2015</v>
      </c>
      <c r="B54" s="179">
        <v>42064</v>
      </c>
      <c r="C54" s="18">
        <v>43.3</v>
      </c>
      <c r="D54" s="19">
        <f t="shared" si="15"/>
        <v>47.8</v>
      </c>
      <c r="E54" s="18">
        <v>91.1</v>
      </c>
      <c r="F54" s="19">
        <v>139.9</v>
      </c>
      <c r="G54" s="18">
        <f t="shared" si="16"/>
        <v>86.699999999999989</v>
      </c>
      <c r="H54" s="19">
        <v>226.6</v>
      </c>
      <c r="I54" s="215">
        <f t="shared" si="0"/>
        <v>0.47530186608122943</v>
      </c>
      <c r="J54" s="60">
        <f t="shared" si="17"/>
        <v>0.61738746690203006</v>
      </c>
      <c r="K54" s="216">
        <f t="shared" si="18"/>
        <v>0.23635371179039302</v>
      </c>
      <c r="L54" s="15"/>
      <c r="N54" s="157"/>
      <c r="O54" s="157"/>
      <c r="P54" s="157"/>
      <c r="Q54" s="157"/>
      <c r="R54" s="157"/>
      <c r="S54" s="157"/>
      <c r="T54" s="157"/>
      <c r="U54" s="157"/>
      <c r="V54" s="178"/>
      <c r="W54" s="178"/>
      <c r="AB54" s="15"/>
      <c r="AC54" s="15"/>
      <c r="AD54" s="15"/>
      <c r="AF54" s="15"/>
      <c r="AG54" s="15"/>
      <c r="AH54" s="15"/>
      <c r="AI54" s="15"/>
      <c r="AJ54" s="15"/>
      <c r="AK54" s="15"/>
      <c r="AL54" s="15"/>
      <c r="AM54" s="15"/>
      <c r="AN54" s="15"/>
      <c r="AO54" s="15"/>
      <c r="AP54" s="15"/>
    </row>
    <row r="55" spans="1:42" x14ac:dyDescent="0.3">
      <c r="A55">
        <f t="shared" si="14"/>
        <v>2015</v>
      </c>
      <c r="B55" s="179">
        <v>42156</v>
      </c>
      <c r="C55" s="186">
        <v>63.7</v>
      </c>
      <c r="D55" s="187">
        <f t="shared" si="15"/>
        <v>50.8</v>
      </c>
      <c r="E55" s="186">
        <v>114.5</v>
      </c>
      <c r="F55" s="187">
        <v>141</v>
      </c>
      <c r="G55" s="186">
        <f t="shared" si="16"/>
        <v>89.1</v>
      </c>
      <c r="H55" s="187">
        <v>230.1</v>
      </c>
      <c r="I55" s="221">
        <f t="shared" si="0"/>
        <v>0.55633187772925763</v>
      </c>
      <c r="J55" s="222">
        <f t="shared" si="17"/>
        <v>0.61277705345501954</v>
      </c>
      <c r="K55" s="223">
        <f t="shared" si="18"/>
        <v>0.31118710307767466</v>
      </c>
      <c r="L55" s="15"/>
      <c r="N55" s="157"/>
      <c r="O55" s="157"/>
      <c r="P55" s="157"/>
      <c r="Q55" s="157"/>
      <c r="R55" s="157"/>
      <c r="S55" s="157"/>
      <c r="T55" s="157"/>
      <c r="U55" s="157"/>
      <c r="V55" s="178"/>
      <c r="W55" s="178"/>
      <c r="AB55" s="15"/>
      <c r="AC55" s="15"/>
      <c r="AD55" s="15"/>
      <c r="AF55" s="15"/>
      <c r="AG55" s="15"/>
      <c r="AH55" s="15"/>
      <c r="AI55" s="15"/>
      <c r="AJ55" s="15"/>
      <c r="AK55" s="15"/>
      <c r="AL55" s="15"/>
      <c r="AM55" s="15"/>
      <c r="AN55" s="15"/>
      <c r="AO55" s="15"/>
      <c r="AP55" s="15"/>
    </row>
    <row r="56" spans="1:42" x14ac:dyDescent="0.3">
      <c r="A56">
        <f t="shared" si="14"/>
        <v>2015</v>
      </c>
      <c r="B56" s="179">
        <v>42248</v>
      </c>
      <c r="C56" s="18">
        <v>60.6</v>
      </c>
      <c r="D56" s="19">
        <f t="shared" si="15"/>
        <v>54.300000000000004</v>
      </c>
      <c r="E56" s="18">
        <v>114.9</v>
      </c>
      <c r="F56" s="19">
        <v>172.5</v>
      </c>
      <c r="G56" s="18">
        <f t="shared" si="16"/>
        <v>106.60000000000002</v>
      </c>
      <c r="H56" s="19">
        <v>279.10000000000002</v>
      </c>
      <c r="I56" s="215">
        <f t="shared" si="0"/>
        <v>0.52741514360313313</v>
      </c>
      <c r="J56" s="60">
        <f t="shared" si="17"/>
        <v>0.61805804371193118</v>
      </c>
      <c r="K56" s="216">
        <f t="shared" si="18"/>
        <v>0.25997425997425999</v>
      </c>
      <c r="L56" s="15"/>
      <c r="N56" s="157"/>
      <c r="O56" s="157"/>
      <c r="P56" s="157"/>
      <c r="Q56" s="157"/>
      <c r="R56" s="157"/>
      <c r="S56" s="157"/>
      <c r="T56" s="157"/>
      <c r="U56" s="157"/>
      <c r="V56" s="178"/>
      <c r="W56" s="178"/>
      <c r="AB56" s="15"/>
      <c r="AC56" s="15"/>
      <c r="AD56" s="15"/>
      <c r="AF56" s="15"/>
      <c r="AG56" s="15"/>
      <c r="AH56" s="15"/>
      <c r="AI56" s="15"/>
      <c r="AJ56" s="15"/>
      <c r="AK56" s="15"/>
      <c r="AL56" s="15"/>
      <c r="AM56" s="15"/>
      <c r="AN56" s="15"/>
      <c r="AO56" s="15"/>
      <c r="AP56" s="15"/>
    </row>
    <row r="57" spans="1:42" x14ac:dyDescent="0.3">
      <c r="A57">
        <f t="shared" si="14"/>
        <v>2015</v>
      </c>
      <c r="B57" s="179">
        <v>42339</v>
      </c>
      <c r="C57" s="186">
        <v>62.8</v>
      </c>
      <c r="D57" s="187">
        <f t="shared" si="15"/>
        <v>42.8</v>
      </c>
      <c r="E57" s="186">
        <v>105.6</v>
      </c>
      <c r="F57" s="187">
        <v>159.80000000000001</v>
      </c>
      <c r="G57" s="186">
        <f t="shared" si="16"/>
        <v>117.5</v>
      </c>
      <c r="H57" s="187">
        <v>277.3</v>
      </c>
      <c r="I57" s="221">
        <f t="shared" si="0"/>
        <v>0.59469696969696972</v>
      </c>
      <c r="J57" s="222">
        <f t="shared" si="17"/>
        <v>0.57627118644067798</v>
      </c>
      <c r="K57" s="223">
        <f t="shared" si="18"/>
        <v>0.28212039532794247</v>
      </c>
      <c r="L57" s="15"/>
      <c r="N57" s="157"/>
      <c r="O57" s="157"/>
      <c r="P57" s="157"/>
      <c r="Q57" s="157"/>
      <c r="R57" s="157"/>
      <c r="S57" s="157"/>
      <c r="T57" s="157"/>
      <c r="U57" s="157"/>
      <c r="V57" s="178"/>
      <c r="W57" s="178"/>
      <c r="AB57" s="15"/>
      <c r="AC57" s="15"/>
      <c r="AD57" s="15"/>
      <c r="AF57" s="15"/>
      <c r="AG57" s="15"/>
      <c r="AH57" s="15"/>
      <c r="AI57" s="15"/>
      <c r="AJ57" s="15"/>
      <c r="AK57" s="15"/>
      <c r="AL57" s="15"/>
      <c r="AM57" s="15"/>
      <c r="AN57" s="15"/>
      <c r="AO57" s="15"/>
      <c r="AP57" s="15"/>
    </row>
    <row r="58" spans="1:42" x14ac:dyDescent="0.3">
      <c r="A58">
        <f t="shared" si="14"/>
        <v>2016</v>
      </c>
      <c r="B58" s="179">
        <v>42430</v>
      </c>
      <c r="C58" s="18">
        <v>52.7</v>
      </c>
      <c r="D58" s="19">
        <f t="shared" si="15"/>
        <v>34.399999999999991</v>
      </c>
      <c r="E58" s="18">
        <v>87.1</v>
      </c>
      <c r="F58" s="19">
        <v>134.4</v>
      </c>
      <c r="G58" s="18">
        <f t="shared" si="16"/>
        <v>68.799999999999983</v>
      </c>
      <c r="H58" s="19">
        <v>203.2</v>
      </c>
      <c r="I58" s="215">
        <f t="shared" si="0"/>
        <v>0.60505166475315741</v>
      </c>
      <c r="J58" s="60">
        <f t="shared" si="17"/>
        <v>0.66141732283464572</v>
      </c>
      <c r="K58" s="216">
        <f t="shared" si="18"/>
        <v>0.28166755745590594</v>
      </c>
      <c r="L58" s="15"/>
      <c r="V58" s="178"/>
      <c r="W58" s="178"/>
      <c r="AB58" s="15"/>
      <c r="AC58" s="15"/>
      <c r="AD58" s="15"/>
      <c r="AF58" s="15"/>
      <c r="AG58" s="15"/>
      <c r="AH58" s="15"/>
      <c r="AI58" s="15"/>
      <c r="AJ58" s="15"/>
      <c r="AK58" s="15"/>
      <c r="AL58" s="15"/>
      <c r="AM58" s="15"/>
      <c r="AN58" s="15"/>
      <c r="AO58" s="15"/>
      <c r="AP58" s="15"/>
    </row>
    <row r="59" spans="1:42" x14ac:dyDescent="0.3">
      <c r="A59">
        <f t="shared" si="14"/>
        <v>2016</v>
      </c>
      <c r="B59" s="179">
        <v>42522</v>
      </c>
      <c r="C59" s="186">
        <v>65.3</v>
      </c>
      <c r="D59" s="187">
        <f t="shared" si="15"/>
        <v>38.799999999999997</v>
      </c>
      <c r="E59" s="186">
        <v>104.1</v>
      </c>
      <c r="F59" s="187">
        <v>162.9</v>
      </c>
      <c r="G59" s="186">
        <f t="shared" si="16"/>
        <v>86.9</v>
      </c>
      <c r="H59" s="187">
        <v>249.8</v>
      </c>
      <c r="I59" s="221">
        <f t="shared" si="0"/>
        <v>0.62728146013448605</v>
      </c>
      <c r="J59" s="222">
        <f t="shared" si="17"/>
        <v>0.65212169735788628</v>
      </c>
      <c r="K59" s="223">
        <f t="shared" si="18"/>
        <v>0.28615249780893953</v>
      </c>
      <c r="L59" s="15"/>
      <c r="V59" s="178"/>
      <c r="W59" s="178"/>
      <c r="AB59" s="15"/>
      <c r="AC59" s="15"/>
      <c r="AD59" s="15"/>
      <c r="AF59" s="15"/>
      <c r="AG59" s="15"/>
      <c r="AH59" s="15"/>
      <c r="AI59" s="15"/>
      <c r="AJ59" s="15"/>
      <c r="AK59" s="15"/>
      <c r="AL59" s="15"/>
      <c r="AM59" s="15"/>
      <c r="AN59" s="15"/>
      <c r="AO59" s="15"/>
      <c r="AP59" s="15"/>
    </row>
    <row r="60" spans="1:42" x14ac:dyDescent="0.3">
      <c r="A60">
        <f t="shared" si="14"/>
        <v>2016</v>
      </c>
      <c r="B60" s="179">
        <v>42614</v>
      </c>
      <c r="C60" s="18">
        <v>71.2</v>
      </c>
      <c r="D60" s="19">
        <f t="shared" si="15"/>
        <v>42.599999999999994</v>
      </c>
      <c r="E60" s="18">
        <v>113.8</v>
      </c>
      <c r="F60" s="19">
        <v>177.6</v>
      </c>
      <c r="G60" s="18">
        <f t="shared" si="16"/>
        <v>88.000000000000028</v>
      </c>
      <c r="H60" s="19">
        <v>265.60000000000002</v>
      </c>
      <c r="I60" s="215">
        <f t="shared" si="0"/>
        <v>0.62565905096660812</v>
      </c>
      <c r="J60" s="60">
        <f t="shared" si="17"/>
        <v>0.6686746987951806</v>
      </c>
      <c r="K60" s="216">
        <f t="shared" si="18"/>
        <v>0.28617363344051444</v>
      </c>
      <c r="L60" s="15"/>
      <c r="V60" s="178"/>
      <c r="W60" s="178"/>
      <c r="AB60" s="15"/>
      <c r="AC60" s="15"/>
      <c r="AD60" s="15"/>
      <c r="AF60" s="15"/>
      <c r="AG60" s="15"/>
      <c r="AH60" s="15"/>
      <c r="AI60" s="15"/>
      <c r="AJ60" s="15"/>
      <c r="AK60" s="15"/>
      <c r="AL60" s="15"/>
      <c r="AM60" s="15"/>
      <c r="AN60" s="15"/>
      <c r="AO60" s="15"/>
      <c r="AP60" s="15"/>
    </row>
    <row r="61" spans="1:42" x14ac:dyDescent="0.3">
      <c r="A61">
        <f t="shared" si="14"/>
        <v>2016</v>
      </c>
      <c r="B61" s="179">
        <v>42705</v>
      </c>
      <c r="C61" s="186">
        <v>78.3</v>
      </c>
      <c r="D61" s="187">
        <f t="shared" si="15"/>
        <v>52.600000000000009</v>
      </c>
      <c r="E61" s="186">
        <v>130.9</v>
      </c>
      <c r="F61" s="187">
        <v>185.2</v>
      </c>
      <c r="G61" s="186">
        <f t="shared" si="16"/>
        <v>87.100000000000023</v>
      </c>
      <c r="H61" s="187">
        <v>272.3</v>
      </c>
      <c r="I61" s="221">
        <f t="shared" si="0"/>
        <v>0.5981665393430099</v>
      </c>
      <c r="J61" s="222">
        <f t="shared" si="17"/>
        <v>0.68013220712449496</v>
      </c>
      <c r="K61" s="223">
        <f t="shared" si="18"/>
        <v>0.29715370018975329</v>
      </c>
      <c r="L61" s="15"/>
      <c r="V61" s="178"/>
      <c r="W61" s="178"/>
      <c r="AB61" s="15"/>
      <c r="AC61" s="15"/>
      <c r="AD61" s="15"/>
      <c r="AF61" s="15"/>
      <c r="AG61" s="15"/>
      <c r="AH61" s="15"/>
      <c r="AI61" s="15"/>
      <c r="AJ61" s="15"/>
      <c r="AK61" s="15"/>
      <c r="AL61" s="15"/>
      <c r="AM61" s="15"/>
      <c r="AN61" s="15"/>
      <c r="AO61" s="15"/>
      <c r="AP61" s="15"/>
    </row>
    <row r="62" spans="1:42" x14ac:dyDescent="0.3">
      <c r="A62">
        <f t="shared" si="14"/>
        <v>2017</v>
      </c>
      <c r="B62" s="179">
        <v>42795</v>
      </c>
      <c r="C62" s="18">
        <v>62.5</v>
      </c>
      <c r="D62" s="19">
        <f t="shared" si="15"/>
        <v>40.400000000000006</v>
      </c>
      <c r="E62" s="18">
        <v>102.9</v>
      </c>
      <c r="F62" s="19">
        <v>162.6</v>
      </c>
      <c r="G62" s="18">
        <f t="shared" si="16"/>
        <v>72.200000000000017</v>
      </c>
      <c r="H62" s="19">
        <v>234.8</v>
      </c>
      <c r="I62" s="215">
        <f t="shared" si="0"/>
        <v>0.60738581146744408</v>
      </c>
      <c r="J62" s="60">
        <f t="shared" si="17"/>
        <v>0.69250425894378187</v>
      </c>
      <c r="K62" s="216">
        <f t="shared" si="18"/>
        <v>0.27765437583296315</v>
      </c>
      <c r="L62" s="15"/>
      <c r="V62" s="178"/>
      <c r="W62" s="178"/>
      <c r="AB62" s="15"/>
      <c r="AC62" s="15"/>
      <c r="AD62" s="15"/>
      <c r="AF62" s="15"/>
      <c r="AG62" s="15"/>
      <c r="AH62" s="15"/>
      <c r="AI62" s="15"/>
      <c r="AJ62" s="15"/>
      <c r="AK62" s="15"/>
      <c r="AL62" s="15"/>
      <c r="AM62" s="15"/>
      <c r="AN62" s="15"/>
      <c r="AO62" s="15"/>
      <c r="AP62" s="15"/>
    </row>
    <row r="63" spans="1:42" x14ac:dyDescent="0.3">
      <c r="A63">
        <f t="shared" si="14"/>
        <v>2017</v>
      </c>
      <c r="B63" s="179">
        <v>42887</v>
      </c>
      <c r="C63" s="186">
        <v>83.3</v>
      </c>
      <c r="D63" s="187">
        <f t="shared" si="15"/>
        <v>52.600000000000009</v>
      </c>
      <c r="E63" s="186">
        <v>135.9</v>
      </c>
      <c r="F63" s="187">
        <v>207.7</v>
      </c>
      <c r="G63" s="186">
        <f t="shared" si="16"/>
        <v>101.19999999999999</v>
      </c>
      <c r="H63" s="187">
        <v>308.89999999999998</v>
      </c>
      <c r="I63" s="221">
        <f t="shared" si="0"/>
        <v>0.61295069904341426</v>
      </c>
      <c r="J63" s="222">
        <f t="shared" si="17"/>
        <v>0.67238588539980582</v>
      </c>
      <c r="K63" s="223">
        <f t="shared" si="18"/>
        <v>0.28625429553264603</v>
      </c>
      <c r="L63" s="15"/>
      <c r="V63" s="178"/>
      <c r="W63" s="178"/>
      <c r="AB63" s="15"/>
      <c r="AC63" s="15"/>
      <c r="AD63" s="15"/>
      <c r="AF63" s="15"/>
      <c r="AG63" s="15"/>
      <c r="AH63" s="15"/>
      <c r="AI63" s="15"/>
      <c r="AJ63" s="15"/>
      <c r="AK63" s="15"/>
      <c r="AL63" s="15"/>
      <c r="AM63" s="15"/>
      <c r="AN63" s="15"/>
      <c r="AO63" s="15"/>
      <c r="AP63" s="15"/>
    </row>
    <row r="64" spans="1:42" x14ac:dyDescent="0.3">
      <c r="A64">
        <f t="shared" si="14"/>
        <v>2017</v>
      </c>
      <c r="B64" s="179">
        <v>42979</v>
      </c>
      <c r="C64" s="18">
        <v>94.8</v>
      </c>
      <c r="D64" s="19">
        <f t="shared" si="15"/>
        <v>64.100000000000009</v>
      </c>
      <c r="E64" s="18">
        <v>158.9</v>
      </c>
      <c r="F64" s="19">
        <v>199.5</v>
      </c>
      <c r="G64" s="18">
        <f t="shared" si="16"/>
        <v>116.80000000000001</v>
      </c>
      <c r="H64" s="19">
        <v>316.3</v>
      </c>
      <c r="I64" s="215">
        <f t="shared" si="0"/>
        <v>0.59660163624921325</v>
      </c>
      <c r="J64" s="60">
        <f t="shared" si="17"/>
        <v>0.63073031931710399</v>
      </c>
      <c r="K64" s="216">
        <f t="shared" si="18"/>
        <v>0.32212028542303772</v>
      </c>
      <c r="L64" s="15"/>
      <c r="V64" s="178"/>
      <c r="W64" s="178"/>
      <c r="AB64" s="15"/>
      <c r="AC64" s="15"/>
      <c r="AD64" s="15"/>
      <c r="AF64" s="15"/>
      <c r="AG64" s="15"/>
      <c r="AH64" s="15"/>
      <c r="AI64" s="15"/>
      <c r="AJ64" s="15"/>
      <c r="AK64" s="15"/>
      <c r="AL64" s="15"/>
      <c r="AM64" s="15"/>
      <c r="AN64" s="15"/>
      <c r="AO64" s="15"/>
      <c r="AP64" s="15"/>
    </row>
    <row r="65" spans="1:42" x14ac:dyDescent="0.3">
      <c r="A65">
        <f t="shared" si="14"/>
        <v>2017</v>
      </c>
      <c r="B65" s="179">
        <v>43070</v>
      </c>
      <c r="C65" s="186">
        <v>98.5</v>
      </c>
      <c r="D65" s="187">
        <f t="shared" si="15"/>
        <v>64.199999999999989</v>
      </c>
      <c r="E65" s="186">
        <v>162.69999999999999</v>
      </c>
      <c r="F65" s="187">
        <v>200.1</v>
      </c>
      <c r="G65" s="186">
        <f t="shared" si="16"/>
        <v>133.29999999999998</v>
      </c>
      <c r="H65" s="187">
        <v>333.4</v>
      </c>
      <c r="I65" s="221">
        <f t="shared" si="0"/>
        <v>0.60540872771972964</v>
      </c>
      <c r="J65" s="222">
        <f t="shared" si="17"/>
        <v>0.60017996400719853</v>
      </c>
      <c r="K65" s="223">
        <f t="shared" si="18"/>
        <v>0.32987273945077022</v>
      </c>
      <c r="L65" s="15"/>
      <c r="V65" s="178"/>
      <c r="W65" s="178"/>
      <c r="AB65" s="15"/>
      <c r="AC65" s="15"/>
      <c r="AD65" s="15"/>
      <c r="AF65" s="15"/>
      <c r="AG65" s="15"/>
      <c r="AH65" s="15"/>
      <c r="AI65" s="15"/>
      <c r="AJ65" s="15"/>
      <c r="AK65" s="15"/>
      <c r="AL65" s="15"/>
      <c r="AM65" s="15"/>
      <c r="AN65" s="15"/>
      <c r="AO65" s="15"/>
      <c r="AP65" s="15"/>
    </row>
    <row r="66" spans="1:42" x14ac:dyDescent="0.3">
      <c r="A66">
        <f t="shared" si="14"/>
        <v>2018</v>
      </c>
      <c r="B66" s="179">
        <v>43160</v>
      </c>
      <c r="C66" s="18">
        <v>88.9</v>
      </c>
      <c r="D66" s="19">
        <f t="shared" si="15"/>
        <v>56.5</v>
      </c>
      <c r="E66" s="18">
        <v>145.4</v>
      </c>
      <c r="F66" s="19">
        <v>172.1</v>
      </c>
      <c r="G66" s="18">
        <f t="shared" si="16"/>
        <v>121.20000000000002</v>
      </c>
      <c r="H66" s="19">
        <v>293.3</v>
      </c>
      <c r="I66" s="215">
        <f t="shared" si="0"/>
        <v>0.61141678129298493</v>
      </c>
      <c r="J66" s="60">
        <f t="shared" si="17"/>
        <v>0.58677122400272752</v>
      </c>
      <c r="K66" s="216">
        <f t="shared" si="18"/>
        <v>0.34061302681992339</v>
      </c>
      <c r="L66" s="15"/>
      <c r="V66" s="178"/>
      <c r="W66" s="178"/>
      <c r="AF66" s="28"/>
      <c r="AG66" s="28"/>
      <c r="AH66" s="15"/>
      <c r="AI66" s="15"/>
      <c r="AJ66" s="15"/>
      <c r="AK66" s="15"/>
      <c r="AL66" s="15"/>
      <c r="AM66" s="15"/>
      <c r="AN66" s="15"/>
      <c r="AO66" s="15"/>
      <c r="AP66" s="15"/>
    </row>
    <row r="67" spans="1:42" x14ac:dyDescent="0.3">
      <c r="A67">
        <f t="shared" si="14"/>
        <v>2018</v>
      </c>
      <c r="B67" s="179">
        <v>43252</v>
      </c>
      <c r="C67" s="186">
        <v>123.7</v>
      </c>
      <c r="D67" s="187">
        <f t="shared" si="15"/>
        <v>74.2</v>
      </c>
      <c r="E67" s="186">
        <v>197.9</v>
      </c>
      <c r="F67" s="187">
        <v>226.1</v>
      </c>
      <c r="G67" s="186">
        <f t="shared" si="16"/>
        <v>143.79999999999998</v>
      </c>
      <c r="H67" s="187">
        <v>369.9</v>
      </c>
      <c r="I67" s="221">
        <f t="shared" si="0"/>
        <v>0.62506316321374433</v>
      </c>
      <c r="J67" s="222">
        <f t="shared" si="17"/>
        <v>0.61124628277912951</v>
      </c>
      <c r="K67" s="223">
        <f t="shared" si="18"/>
        <v>0.35363064608347627</v>
      </c>
      <c r="L67" s="15"/>
      <c r="V67" s="178"/>
      <c r="W67" s="178"/>
      <c r="AF67" s="28"/>
      <c r="AG67" s="28"/>
      <c r="AH67" s="15"/>
      <c r="AI67" s="15"/>
      <c r="AJ67" s="15"/>
      <c r="AK67" s="15"/>
      <c r="AL67" s="15"/>
      <c r="AM67" s="15"/>
      <c r="AN67" s="15"/>
      <c r="AO67" s="15"/>
      <c r="AP67" s="15"/>
    </row>
    <row r="68" spans="1:42" x14ac:dyDescent="0.3">
      <c r="A68">
        <f t="shared" si="14"/>
        <v>2018</v>
      </c>
      <c r="B68" s="179">
        <v>43344</v>
      </c>
      <c r="C68" s="18">
        <v>142</v>
      </c>
      <c r="D68" s="19">
        <f t="shared" si="15"/>
        <v>81.5</v>
      </c>
      <c r="E68" s="18">
        <v>223.5</v>
      </c>
      <c r="F68" s="19">
        <v>219.4</v>
      </c>
      <c r="G68" s="18">
        <f t="shared" si="16"/>
        <v>141.99999999999997</v>
      </c>
      <c r="H68" s="19">
        <v>361.4</v>
      </c>
      <c r="I68" s="215">
        <f t="shared" si="0"/>
        <v>0.63534675615212532</v>
      </c>
      <c r="J68" s="60">
        <f t="shared" si="17"/>
        <v>0.60708356391809637</v>
      </c>
      <c r="K68" s="216">
        <f t="shared" si="18"/>
        <v>0.39291643608190374</v>
      </c>
      <c r="L68" s="15"/>
      <c r="V68" s="126"/>
      <c r="W68" s="178"/>
      <c r="AF68" s="28"/>
      <c r="AG68" s="28"/>
      <c r="AH68" s="15"/>
      <c r="AI68" s="15"/>
      <c r="AJ68" s="15"/>
      <c r="AK68" s="15"/>
      <c r="AL68" s="15"/>
      <c r="AM68" s="15"/>
      <c r="AN68" s="15"/>
      <c r="AO68" s="15"/>
      <c r="AP68" s="15"/>
    </row>
    <row r="69" spans="1:42" x14ac:dyDescent="0.3">
      <c r="A69">
        <f t="shared" si="14"/>
        <v>2018</v>
      </c>
      <c r="B69" s="179">
        <v>43435</v>
      </c>
      <c r="C69" s="186">
        <v>147.1</v>
      </c>
      <c r="D69" s="187">
        <f t="shared" si="15"/>
        <v>86.4</v>
      </c>
      <c r="E69" s="186">
        <v>233.5</v>
      </c>
      <c r="F69" s="187">
        <v>199.1</v>
      </c>
      <c r="G69" s="186">
        <f t="shared" si="16"/>
        <v>160.20000000000002</v>
      </c>
      <c r="H69" s="187">
        <v>359.3</v>
      </c>
      <c r="I69" s="221">
        <f t="shared" si="0"/>
        <v>0.62997858672376872</v>
      </c>
      <c r="J69" s="222">
        <f t="shared" si="17"/>
        <v>0.55413303645978285</v>
      </c>
      <c r="K69" s="223">
        <f t="shared" si="18"/>
        <v>0.42489890236857308</v>
      </c>
      <c r="V69" s="126"/>
      <c r="W69" s="126"/>
      <c r="AF69" s="28"/>
      <c r="AG69" s="28"/>
      <c r="AH69" s="28"/>
      <c r="AI69" s="28"/>
    </row>
    <row r="70" spans="1:42" x14ac:dyDescent="0.3">
      <c r="A70">
        <f t="shared" si="14"/>
        <v>2019</v>
      </c>
      <c r="B70" s="179">
        <v>43525</v>
      </c>
      <c r="C70" s="18">
        <v>125.5</v>
      </c>
      <c r="D70" s="19">
        <f t="shared" si="15"/>
        <v>49.800000000000011</v>
      </c>
      <c r="E70" s="18">
        <v>175.3</v>
      </c>
      <c r="F70" s="19">
        <v>193.9</v>
      </c>
      <c r="G70" s="18">
        <f t="shared" si="16"/>
        <v>136.49999999999997</v>
      </c>
      <c r="H70" s="19">
        <v>330.4</v>
      </c>
      <c r="I70" s="215">
        <f t="shared" si="0"/>
        <v>0.71591557330290923</v>
      </c>
      <c r="J70" s="60">
        <f t="shared" si="17"/>
        <v>0.58686440677966112</v>
      </c>
      <c r="K70" s="216">
        <f t="shared" si="18"/>
        <v>0.39292423293675643</v>
      </c>
      <c r="V70" s="126"/>
      <c r="W70" s="126"/>
      <c r="AF70" s="28"/>
      <c r="AG70" s="28"/>
      <c r="AH70" s="28"/>
      <c r="AI70" s="28"/>
    </row>
    <row r="71" spans="1:42" x14ac:dyDescent="0.3">
      <c r="A71">
        <f t="shared" si="14"/>
        <v>2019</v>
      </c>
      <c r="B71" s="179">
        <v>43617</v>
      </c>
      <c r="C71" s="186">
        <v>183.9</v>
      </c>
      <c r="D71" s="187">
        <f t="shared" si="15"/>
        <v>91.200000000000017</v>
      </c>
      <c r="E71" s="186">
        <v>275.10000000000002</v>
      </c>
      <c r="F71" s="187">
        <v>231.2</v>
      </c>
      <c r="G71" s="186">
        <f t="shared" si="16"/>
        <v>158.5</v>
      </c>
      <c r="H71" s="187">
        <v>389.7</v>
      </c>
      <c r="I71" s="221">
        <f t="shared" si="0"/>
        <v>0.66848418756815697</v>
      </c>
      <c r="J71" s="222">
        <f t="shared" si="17"/>
        <v>0.59327687965101361</v>
      </c>
      <c r="K71" s="223">
        <f t="shared" si="18"/>
        <v>0.4430257769212238</v>
      </c>
      <c r="V71" s="126"/>
      <c r="W71" s="126"/>
      <c r="AF71" s="28"/>
      <c r="AG71" s="28"/>
      <c r="AH71" s="28"/>
      <c r="AI71" s="28"/>
    </row>
    <row r="72" spans="1:42" x14ac:dyDescent="0.3">
      <c r="A72">
        <f t="shared" si="14"/>
        <v>2019</v>
      </c>
      <c r="B72" s="179">
        <v>43709</v>
      </c>
      <c r="C72" s="18">
        <v>207.6</v>
      </c>
      <c r="D72" s="19">
        <f t="shared" si="15"/>
        <v>94.799999999999983</v>
      </c>
      <c r="E72" s="18">
        <v>302.39999999999998</v>
      </c>
      <c r="F72" s="19">
        <v>252.2</v>
      </c>
      <c r="G72" s="18">
        <f t="shared" si="16"/>
        <v>170.2</v>
      </c>
      <c r="H72" s="19">
        <v>422.4</v>
      </c>
      <c r="I72" s="215">
        <f t="shared" ref="I72:I89" si="24">C72/E72</f>
        <v>0.68650793650793651</v>
      </c>
      <c r="J72" s="60">
        <f t="shared" si="17"/>
        <v>0.59706439393939392</v>
      </c>
      <c r="K72" s="216">
        <f t="shared" si="18"/>
        <v>0.4515006524575903</v>
      </c>
      <c r="V72" s="126"/>
      <c r="W72" s="126"/>
      <c r="AF72" s="28"/>
      <c r="AG72" s="28"/>
      <c r="AH72" s="28"/>
      <c r="AI72" s="28"/>
    </row>
    <row r="73" spans="1:42" x14ac:dyDescent="0.3">
      <c r="A73">
        <f t="shared" si="14"/>
        <v>2019</v>
      </c>
      <c r="B73" s="179">
        <v>43800</v>
      </c>
      <c r="C73" s="186">
        <v>179</v>
      </c>
      <c r="D73" s="187">
        <f t="shared" ref="D73:D91" si="25">E73-C73</f>
        <v>124.89999999999998</v>
      </c>
      <c r="E73" s="186">
        <v>303.89999999999998</v>
      </c>
      <c r="F73" s="187">
        <v>274.89999999999998</v>
      </c>
      <c r="G73" s="186">
        <f t="shared" ref="G73:G91" si="26">H73-F73</f>
        <v>174.3</v>
      </c>
      <c r="H73" s="187">
        <v>449.2</v>
      </c>
      <c r="I73" s="221">
        <f t="shared" si="24"/>
        <v>0.58900954261270155</v>
      </c>
      <c r="J73" s="222">
        <f t="shared" ref="J73:J89" si="27">F73/H73</f>
        <v>0.6119768477292965</v>
      </c>
      <c r="K73" s="223">
        <f t="shared" ref="K73:K89" si="28">C73/(C73+F73)</f>
        <v>0.39435999118748627</v>
      </c>
      <c r="V73" s="126"/>
      <c r="W73" s="126"/>
      <c r="AC73" s="28"/>
      <c r="AF73" s="28"/>
      <c r="AG73" s="28"/>
      <c r="AH73" s="28"/>
      <c r="AI73" s="28"/>
    </row>
    <row r="74" spans="1:42" x14ac:dyDescent="0.3">
      <c r="A74">
        <f t="shared" ref="A74:A137" si="29">YEAR(B74)</f>
        <v>2020</v>
      </c>
      <c r="B74" s="179">
        <v>43891</v>
      </c>
      <c r="C74" s="18">
        <v>131.4</v>
      </c>
      <c r="D74" s="19">
        <f t="shared" si="25"/>
        <v>92.299999999999983</v>
      </c>
      <c r="E74" s="18">
        <v>223.7</v>
      </c>
      <c r="F74" s="19">
        <v>235.7</v>
      </c>
      <c r="G74" s="18">
        <f t="shared" si="26"/>
        <v>151.10000000000002</v>
      </c>
      <c r="H74" s="19">
        <v>386.8</v>
      </c>
      <c r="I74" s="215">
        <f t="shared" si="24"/>
        <v>0.58739383102369247</v>
      </c>
      <c r="J74" s="60">
        <f t="shared" si="27"/>
        <v>0.60935884177869692</v>
      </c>
      <c r="K74" s="216">
        <f t="shared" si="28"/>
        <v>0.35794061563606644</v>
      </c>
      <c r="V74" s="126"/>
      <c r="W74" s="126"/>
      <c r="AH74" s="28"/>
      <c r="AI74" s="28"/>
    </row>
    <row r="75" spans="1:42" x14ac:dyDescent="0.3">
      <c r="A75">
        <f t="shared" si="29"/>
        <v>2020</v>
      </c>
      <c r="B75" s="240">
        <v>43983</v>
      </c>
      <c r="C75" s="186">
        <v>133.4</v>
      </c>
      <c r="D75" s="187">
        <f t="shared" si="25"/>
        <v>95.6</v>
      </c>
      <c r="E75" s="186">
        <v>229</v>
      </c>
      <c r="F75" s="187">
        <v>279</v>
      </c>
      <c r="G75" s="186">
        <f t="shared" si="26"/>
        <v>175.3</v>
      </c>
      <c r="H75" s="187">
        <v>454.3</v>
      </c>
      <c r="I75" s="221">
        <f t="shared" si="24"/>
        <v>0.5825327510917031</v>
      </c>
      <c r="J75" s="222">
        <f t="shared" si="27"/>
        <v>0.61413163108078361</v>
      </c>
      <c r="K75" s="223">
        <f t="shared" si="28"/>
        <v>0.32347235693501458</v>
      </c>
      <c r="V75" s="126"/>
      <c r="W75" s="126"/>
      <c r="AH75" s="28"/>
      <c r="AI75" s="28"/>
    </row>
    <row r="76" spans="1:42" x14ac:dyDescent="0.3">
      <c r="A76">
        <f t="shared" si="29"/>
        <v>2020</v>
      </c>
      <c r="B76" s="179">
        <v>44075</v>
      </c>
      <c r="C76" s="18">
        <v>163.9</v>
      </c>
      <c r="D76" s="19">
        <f t="shared" si="25"/>
        <v>93.6</v>
      </c>
      <c r="E76" s="18">
        <v>257.5</v>
      </c>
      <c r="F76" s="19">
        <v>319.5</v>
      </c>
      <c r="G76" s="18">
        <f t="shared" si="26"/>
        <v>167.89999999999998</v>
      </c>
      <c r="H76" s="19">
        <v>487.4</v>
      </c>
      <c r="I76" s="215">
        <f t="shared" si="24"/>
        <v>0.63650485436893212</v>
      </c>
      <c r="J76" s="60">
        <f t="shared" si="27"/>
        <v>0.65551908083709487</v>
      </c>
      <c r="K76" s="216">
        <f t="shared" si="28"/>
        <v>0.33905668183698801</v>
      </c>
      <c r="W76" s="126"/>
      <c r="AH76" s="28"/>
      <c r="AI76" s="28"/>
    </row>
    <row r="77" spans="1:42" x14ac:dyDescent="0.3">
      <c r="A77">
        <f t="shared" si="29"/>
        <v>2020</v>
      </c>
      <c r="B77" s="179">
        <v>44166</v>
      </c>
      <c r="C77" s="186">
        <v>148.69999999999999</v>
      </c>
      <c r="D77" s="187">
        <f t="shared" si="25"/>
        <v>97.9</v>
      </c>
      <c r="E77" s="186">
        <v>246.6</v>
      </c>
      <c r="F77" s="187">
        <v>346</v>
      </c>
      <c r="G77" s="186">
        <f t="shared" si="26"/>
        <v>177.39999999999998</v>
      </c>
      <c r="H77" s="187">
        <v>523.4</v>
      </c>
      <c r="I77" s="221">
        <f t="shared" si="24"/>
        <v>0.60300081103000813</v>
      </c>
      <c r="J77" s="222">
        <f t="shared" si="27"/>
        <v>0.66106228505922815</v>
      </c>
      <c r="K77" s="223">
        <f t="shared" si="28"/>
        <v>0.30058621386699008</v>
      </c>
    </row>
    <row r="78" spans="1:42" x14ac:dyDescent="0.3">
      <c r="A78">
        <f t="shared" si="29"/>
        <v>2021</v>
      </c>
      <c r="B78" s="179">
        <v>44256</v>
      </c>
      <c r="C78" s="18">
        <v>169.3</v>
      </c>
      <c r="D78" s="19">
        <f t="shared" si="25"/>
        <v>83</v>
      </c>
      <c r="E78" s="18">
        <v>252.3</v>
      </c>
      <c r="F78" s="19">
        <v>310.89999999999998</v>
      </c>
      <c r="G78" s="18">
        <f t="shared" si="26"/>
        <v>171.60000000000002</v>
      </c>
      <c r="H78" s="19">
        <v>482.5</v>
      </c>
      <c r="I78" s="215">
        <f t="shared" si="24"/>
        <v>0.67102655568767344</v>
      </c>
      <c r="J78" s="60">
        <f t="shared" si="27"/>
        <v>0.64435233160621752</v>
      </c>
      <c r="K78" s="216">
        <f t="shared" si="28"/>
        <v>0.35256143273635987</v>
      </c>
    </row>
    <row r="79" spans="1:42" x14ac:dyDescent="0.3">
      <c r="A79">
        <f t="shared" si="29"/>
        <v>2021</v>
      </c>
      <c r="B79" s="179">
        <v>44348</v>
      </c>
      <c r="C79" s="186">
        <v>201.4</v>
      </c>
      <c r="D79" s="187">
        <f t="shared" si="25"/>
        <v>109.1</v>
      </c>
      <c r="E79" s="186">
        <v>310.5</v>
      </c>
      <c r="F79" s="187">
        <v>392.4</v>
      </c>
      <c r="G79" s="186">
        <f t="shared" si="26"/>
        <v>209.10000000000002</v>
      </c>
      <c r="H79" s="187">
        <v>601.5</v>
      </c>
      <c r="I79" s="221">
        <f t="shared" si="24"/>
        <v>0.6486312399355878</v>
      </c>
      <c r="J79" s="222">
        <f t="shared" si="27"/>
        <v>0.6523690773067331</v>
      </c>
      <c r="K79" s="223">
        <f t="shared" si="28"/>
        <v>0.33917143819467838</v>
      </c>
    </row>
    <row r="80" spans="1:42" x14ac:dyDescent="0.3">
      <c r="A80">
        <f t="shared" si="29"/>
        <v>2021</v>
      </c>
      <c r="B80" s="179">
        <v>44440</v>
      </c>
      <c r="C80" s="18">
        <v>215.2</v>
      </c>
      <c r="D80" s="19">
        <f t="shared" si="25"/>
        <v>123.10000000000002</v>
      </c>
      <c r="E80" s="18">
        <v>338.3</v>
      </c>
      <c r="F80" s="19">
        <v>455.3</v>
      </c>
      <c r="G80" s="18">
        <f t="shared" si="26"/>
        <v>203.99999999999994</v>
      </c>
      <c r="H80" s="19">
        <v>659.3</v>
      </c>
      <c r="I80" s="215">
        <f t="shared" si="24"/>
        <v>0.63612178539757602</v>
      </c>
      <c r="J80" s="60">
        <f t="shared" si="27"/>
        <v>0.69058091915668141</v>
      </c>
      <c r="K80" s="216">
        <f t="shared" si="28"/>
        <v>0.32095451155853838</v>
      </c>
    </row>
    <row r="81" spans="1:12" x14ac:dyDescent="0.3">
      <c r="A81">
        <f t="shared" si="29"/>
        <v>2021</v>
      </c>
      <c r="B81" s="240">
        <v>44531</v>
      </c>
      <c r="C81" s="186">
        <v>194.3</v>
      </c>
      <c r="D81" s="187">
        <f t="shared" si="25"/>
        <v>112.89999999999998</v>
      </c>
      <c r="E81" s="186">
        <v>307.2</v>
      </c>
      <c r="F81" s="187">
        <v>412.4</v>
      </c>
      <c r="G81" s="186">
        <f t="shared" si="26"/>
        <v>232.10000000000002</v>
      </c>
      <c r="H81" s="187">
        <v>644.5</v>
      </c>
      <c r="I81" s="221">
        <f t="shared" si="24"/>
        <v>0.63248697916666674</v>
      </c>
      <c r="J81" s="222">
        <f t="shared" si="27"/>
        <v>0.63987587276958879</v>
      </c>
      <c r="K81" s="223">
        <f t="shared" si="28"/>
        <v>0.32025712872919071</v>
      </c>
    </row>
    <row r="82" spans="1:12" x14ac:dyDescent="0.3">
      <c r="A82">
        <f t="shared" si="29"/>
        <v>2022</v>
      </c>
      <c r="B82" s="240">
        <v>44621</v>
      </c>
      <c r="C82" s="42">
        <v>150.5</v>
      </c>
      <c r="D82" s="41">
        <f t="shared" si="25"/>
        <v>109.80000000000001</v>
      </c>
      <c r="E82" s="42">
        <v>260.3</v>
      </c>
      <c r="F82" s="41">
        <v>376</v>
      </c>
      <c r="G82" s="42">
        <f t="shared" si="26"/>
        <v>219</v>
      </c>
      <c r="H82" s="41">
        <v>595</v>
      </c>
      <c r="I82" s="241">
        <f t="shared" si="24"/>
        <v>0.57817902420284284</v>
      </c>
      <c r="J82" s="242">
        <f t="shared" si="27"/>
        <v>0.63193277310924367</v>
      </c>
      <c r="K82" s="243">
        <f t="shared" si="28"/>
        <v>0.28584995251661921</v>
      </c>
    </row>
    <row r="83" spans="1:12" x14ac:dyDescent="0.3">
      <c r="A83">
        <f t="shared" si="29"/>
        <v>2022</v>
      </c>
      <c r="B83" s="240">
        <v>44713</v>
      </c>
      <c r="C83" s="224">
        <v>198.5</v>
      </c>
      <c r="D83" s="244">
        <f t="shared" si="25"/>
        <v>115.89999999999998</v>
      </c>
      <c r="E83" s="224">
        <v>314.39999999999998</v>
      </c>
      <c r="F83" s="225">
        <v>476.3</v>
      </c>
      <c r="G83" s="224">
        <f t="shared" si="26"/>
        <v>266.59999999999997</v>
      </c>
      <c r="H83" s="225">
        <v>742.9</v>
      </c>
      <c r="I83" s="245">
        <f t="shared" si="24"/>
        <v>0.63136132315521631</v>
      </c>
      <c r="J83" s="246">
        <f t="shared" si="27"/>
        <v>0.64113608830259794</v>
      </c>
      <c r="K83" s="247">
        <f t="shared" si="28"/>
        <v>0.29416123295791347</v>
      </c>
    </row>
    <row r="84" spans="1:12" x14ac:dyDescent="0.3">
      <c r="A84">
        <f t="shared" si="29"/>
        <v>2022</v>
      </c>
      <c r="B84" s="240">
        <v>44805</v>
      </c>
      <c r="C84" s="42">
        <v>227.7</v>
      </c>
      <c r="D84" s="41">
        <f t="shared" si="25"/>
        <v>113.80000000000001</v>
      </c>
      <c r="E84" s="42">
        <v>341.5</v>
      </c>
      <c r="F84" s="41">
        <v>472.9</v>
      </c>
      <c r="G84" s="42">
        <f t="shared" si="26"/>
        <v>284.89999999999998</v>
      </c>
      <c r="H84" s="41">
        <v>757.8</v>
      </c>
      <c r="I84" s="241">
        <f t="shared" si="24"/>
        <v>0.66676427525622251</v>
      </c>
      <c r="J84" s="242">
        <f t="shared" si="27"/>
        <v>0.62404328318817626</v>
      </c>
      <c r="K84" s="243">
        <f t="shared" si="28"/>
        <v>0.3250071367399372</v>
      </c>
    </row>
    <row r="85" spans="1:12" x14ac:dyDescent="0.3">
      <c r="A85">
        <f t="shared" si="29"/>
        <v>2022</v>
      </c>
      <c r="B85" s="240">
        <v>44896</v>
      </c>
      <c r="C85" s="224">
        <v>217.3</v>
      </c>
      <c r="D85" s="244">
        <f t="shared" si="25"/>
        <v>135.69999999999999</v>
      </c>
      <c r="E85" s="224">
        <v>353</v>
      </c>
      <c r="F85" s="225">
        <v>427.7</v>
      </c>
      <c r="G85" s="224">
        <f t="shared" si="26"/>
        <v>267.50000000000006</v>
      </c>
      <c r="H85" s="225">
        <v>695.2</v>
      </c>
      <c r="I85" s="245">
        <f t="shared" si="24"/>
        <v>0.61558073654390943</v>
      </c>
      <c r="J85" s="246">
        <f t="shared" si="27"/>
        <v>0.6152186421173762</v>
      </c>
      <c r="K85" s="247">
        <f t="shared" si="28"/>
        <v>0.33689922480620155</v>
      </c>
      <c r="L85" s="248"/>
    </row>
    <row r="86" spans="1:12" x14ac:dyDescent="0.3">
      <c r="A86">
        <f t="shared" si="29"/>
        <v>2023</v>
      </c>
      <c r="B86" s="240">
        <v>44986</v>
      </c>
      <c r="C86" s="42">
        <v>172.1</v>
      </c>
      <c r="D86" s="41">
        <f t="shared" si="25"/>
        <v>104.00000000000003</v>
      </c>
      <c r="E86" s="42">
        <v>276.10000000000002</v>
      </c>
      <c r="F86" s="41">
        <v>373.4</v>
      </c>
      <c r="G86" s="42">
        <f t="shared" si="26"/>
        <v>246.39999999999998</v>
      </c>
      <c r="H86" s="41">
        <v>619.79999999999995</v>
      </c>
      <c r="I86" s="241">
        <f t="shared" si="24"/>
        <v>0.62332488228902561</v>
      </c>
      <c r="J86" s="242">
        <f t="shared" si="27"/>
        <v>0.60245240400129074</v>
      </c>
      <c r="K86" s="243">
        <f t="shared" si="28"/>
        <v>0.3154903758020165</v>
      </c>
      <c r="L86" s="248"/>
    </row>
    <row r="87" spans="1:12" x14ac:dyDescent="0.3">
      <c r="A87">
        <f t="shared" si="29"/>
        <v>2023</v>
      </c>
      <c r="B87" s="240">
        <v>45078</v>
      </c>
      <c r="C87" s="224">
        <v>199.3</v>
      </c>
      <c r="D87" s="244">
        <f t="shared" si="25"/>
        <v>130.19999999999999</v>
      </c>
      <c r="E87" s="224">
        <v>329.5</v>
      </c>
      <c r="F87" s="225">
        <v>464.6</v>
      </c>
      <c r="G87" s="224">
        <f t="shared" si="26"/>
        <v>296</v>
      </c>
      <c r="H87" s="225">
        <v>760.6</v>
      </c>
      <c r="I87" s="245">
        <f t="shared" si="24"/>
        <v>0.604855842185129</v>
      </c>
      <c r="J87" s="246">
        <f t="shared" si="27"/>
        <v>0.61083355245858539</v>
      </c>
      <c r="K87" s="247">
        <f t="shared" si="28"/>
        <v>0.30019581262238287</v>
      </c>
      <c r="L87" s="248"/>
    </row>
    <row r="88" spans="1:12" x14ac:dyDescent="0.3">
      <c r="A88">
        <f t="shared" si="29"/>
        <v>2023</v>
      </c>
      <c r="B88" s="240">
        <v>45170</v>
      </c>
      <c r="C88" s="42">
        <v>219.8</v>
      </c>
      <c r="D88" s="41">
        <f t="shared" si="25"/>
        <v>150.39999999999998</v>
      </c>
      <c r="E88" s="42">
        <v>370.2</v>
      </c>
      <c r="F88" s="41">
        <v>495.1</v>
      </c>
      <c r="G88" s="42">
        <f t="shared" si="26"/>
        <v>294.60000000000002</v>
      </c>
      <c r="H88" s="41">
        <v>789.7</v>
      </c>
      <c r="I88" s="241">
        <f t="shared" si="24"/>
        <v>0.59373311723392763</v>
      </c>
      <c r="J88" s="242">
        <f t="shared" si="27"/>
        <v>0.626946941876662</v>
      </c>
      <c r="K88" s="243">
        <f t="shared" si="28"/>
        <v>0.30745558819415303</v>
      </c>
      <c r="L88" s="248"/>
    </row>
    <row r="89" spans="1:12" x14ac:dyDescent="0.3">
      <c r="A89">
        <f t="shared" si="29"/>
        <v>2023</v>
      </c>
      <c r="B89" s="240">
        <v>45261</v>
      </c>
      <c r="C89" s="224">
        <v>201</v>
      </c>
      <c r="D89" s="244">
        <f t="shared" si="25"/>
        <v>161.5</v>
      </c>
      <c r="E89" s="224">
        <v>362.5</v>
      </c>
      <c r="F89" s="225">
        <v>475.9</v>
      </c>
      <c r="G89" s="224">
        <f t="shared" si="26"/>
        <v>276.39999999999998</v>
      </c>
      <c r="H89" s="225">
        <v>752.3</v>
      </c>
      <c r="I89" s="245">
        <f t="shared" si="24"/>
        <v>0.55448275862068963</v>
      </c>
      <c r="J89" s="246">
        <f t="shared" si="27"/>
        <v>0.63259338030041212</v>
      </c>
      <c r="K89" s="247">
        <f t="shared" si="28"/>
        <v>0.29694194120254103</v>
      </c>
      <c r="L89" s="248"/>
    </row>
    <row r="90" spans="1:12" x14ac:dyDescent="0.3">
      <c r="A90">
        <f t="shared" si="29"/>
        <v>2024</v>
      </c>
      <c r="B90" s="240">
        <v>45352</v>
      </c>
      <c r="C90" s="42">
        <v>148.19999999999999</v>
      </c>
      <c r="D90" s="41">
        <f t="shared" si="25"/>
        <v>129.10000000000002</v>
      </c>
      <c r="E90" s="42">
        <v>277.3</v>
      </c>
      <c r="F90" s="41">
        <v>405.3</v>
      </c>
      <c r="G90" s="42">
        <f t="shared" si="26"/>
        <v>226.99999999999994</v>
      </c>
      <c r="H90" s="41">
        <v>632.29999999999995</v>
      </c>
      <c r="I90" s="241">
        <f t="shared" ref="I90:I91" si="30">C90/E90</f>
        <v>0.53443923548503425</v>
      </c>
      <c r="J90" s="242">
        <f t="shared" ref="J90:J91" si="31">F90/H90</f>
        <v>0.64099319943065003</v>
      </c>
      <c r="K90" s="243">
        <f t="shared" ref="K90:K91" si="32">C90/(C90+F90)</f>
        <v>0.26775067750677506</v>
      </c>
      <c r="L90" s="248"/>
    </row>
    <row r="91" spans="1:12" ht="15" thickBot="1" x14ac:dyDescent="0.35">
      <c r="A91">
        <f t="shared" si="29"/>
        <v>2024</v>
      </c>
      <c r="B91" s="249">
        <v>45444</v>
      </c>
      <c r="C91" s="233">
        <v>161.9</v>
      </c>
      <c r="D91" s="250">
        <f t="shared" si="25"/>
        <v>141.4</v>
      </c>
      <c r="E91" s="233">
        <v>303.3</v>
      </c>
      <c r="F91" s="234">
        <v>467.8</v>
      </c>
      <c r="G91" s="233">
        <f t="shared" si="26"/>
        <v>244.2</v>
      </c>
      <c r="H91" s="234">
        <v>712</v>
      </c>
      <c r="I91" s="251">
        <f t="shared" si="30"/>
        <v>0.5337949225189581</v>
      </c>
      <c r="J91" s="252">
        <f t="shared" si="31"/>
        <v>0.65702247191011243</v>
      </c>
      <c r="K91" s="253">
        <f t="shared" si="32"/>
        <v>0.25710655867873589</v>
      </c>
      <c r="L91" s="248"/>
    </row>
    <row r="92" spans="1:12" x14ac:dyDescent="0.3">
      <c r="A92">
        <f t="shared" si="29"/>
        <v>1900</v>
      </c>
      <c r="C92" s="248"/>
      <c r="D92" s="254"/>
      <c r="E92" s="254"/>
      <c r="F92" s="248"/>
      <c r="G92" s="254"/>
      <c r="H92" s="254"/>
      <c r="I92" s="255"/>
      <c r="J92" s="255"/>
      <c r="K92" s="255"/>
      <c r="L92" s="248"/>
    </row>
    <row r="93" spans="1:12" x14ac:dyDescent="0.3">
      <c r="A93">
        <f t="shared" si="29"/>
        <v>1900</v>
      </c>
      <c r="C93" s="248"/>
      <c r="D93" s="254"/>
      <c r="E93" s="254"/>
      <c r="F93" s="248"/>
      <c r="G93" s="254"/>
      <c r="H93" s="254"/>
      <c r="I93" s="255"/>
      <c r="J93" s="255"/>
      <c r="K93" s="255"/>
      <c r="L93" s="248"/>
    </row>
    <row r="94" spans="1:12" x14ac:dyDescent="0.3">
      <c r="A94">
        <f t="shared" si="29"/>
        <v>1900</v>
      </c>
      <c r="C94" s="248"/>
      <c r="D94" s="254"/>
      <c r="E94" s="254"/>
      <c r="F94" s="248"/>
      <c r="G94" s="254"/>
      <c r="H94" s="254"/>
      <c r="I94" s="255"/>
      <c r="J94" s="255"/>
      <c r="K94" s="255"/>
      <c r="L94" s="248"/>
    </row>
    <row r="95" spans="1:12" x14ac:dyDescent="0.3">
      <c r="A95">
        <f t="shared" si="29"/>
        <v>1900</v>
      </c>
      <c r="C95" s="248"/>
      <c r="D95" s="254"/>
      <c r="E95" s="254"/>
      <c r="F95" s="248"/>
      <c r="G95" s="254"/>
      <c r="H95" s="254"/>
      <c r="I95" s="255"/>
      <c r="J95" s="255"/>
      <c r="K95" s="255"/>
      <c r="L95" s="248"/>
    </row>
    <row r="96" spans="1:12" x14ac:dyDescent="0.3">
      <c r="A96">
        <f t="shared" si="29"/>
        <v>1900</v>
      </c>
      <c r="C96" s="248"/>
      <c r="D96" s="254"/>
      <c r="E96" s="254"/>
      <c r="F96" s="248"/>
      <c r="G96" s="254"/>
      <c r="H96" s="254"/>
      <c r="I96" s="255"/>
      <c r="J96" s="255"/>
      <c r="K96" s="255"/>
      <c r="L96" s="248"/>
    </row>
    <row r="97" spans="1:12" x14ac:dyDescent="0.3">
      <c r="A97">
        <f t="shared" si="29"/>
        <v>1900</v>
      </c>
      <c r="C97" s="248"/>
      <c r="D97" s="254"/>
      <c r="E97" s="254"/>
      <c r="F97" s="248"/>
      <c r="G97" s="254"/>
      <c r="H97" s="254"/>
      <c r="I97" s="255"/>
      <c r="J97" s="255"/>
      <c r="K97" s="255"/>
      <c r="L97" s="248"/>
    </row>
    <row r="98" spans="1:12" x14ac:dyDescent="0.3">
      <c r="A98">
        <f t="shared" si="29"/>
        <v>1900</v>
      </c>
      <c r="C98" s="65"/>
      <c r="E98" s="65"/>
      <c r="F98" s="65"/>
      <c r="G98" s="65"/>
      <c r="H98" s="65"/>
    </row>
    <row r="99" spans="1:12" x14ac:dyDescent="0.3">
      <c r="A99">
        <f t="shared" si="29"/>
        <v>1900</v>
      </c>
      <c r="C99" s="65"/>
      <c r="E99" s="65"/>
      <c r="F99" s="65"/>
      <c r="G99" s="65"/>
      <c r="H99" s="65"/>
    </row>
    <row r="100" spans="1:12" x14ac:dyDescent="0.3">
      <c r="A100">
        <f t="shared" si="29"/>
        <v>1900</v>
      </c>
      <c r="C100" s="65"/>
      <c r="E100" s="65"/>
      <c r="F100" s="65"/>
      <c r="G100" s="65"/>
      <c r="H100" s="65"/>
    </row>
    <row r="101" spans="1:12" x14ac:dyDescent="0.3">
      <c r="A101">
        <f t="shared" si="29"/>
        <v>1900</v>
      </c>
      <c r="F101" s="65"/>
      <c r="G101" s="65"/>
    </row>
    <row r="102" spans="1:12" ht="15.75" customHeight="1" x14ac:dyDescent="0.3">
      <c r="A102">
        <f t="shared" si="29"/>
        <v>1900</v>
      </c>
      <c r="F102" s="65"/>
      <c r="G102" s="65"/>
    </row>
    <row r="103" spans="1:12" x14ac:dyDescent="0.3">
      <c r="A103">
        <f t="shared" si="29"/>
        <v>1900</v>
      </c>
      <c r="F103" s="65"/>
      <c r="G103" s="65"/>
    </row>
    <row r="104" spans="1:12" x14ac:dyDescent="0.3">
      <c r="A104">
        <f t="shared" si="29"/>
        <v>1900</v>
      </c>
      <c r="F104" s="65"/>
      <c r="G104" s="65"/>
    </row>
    <row r="105" spans="1:12" x14ac:dyDescent="0.3">
      <c r="A105">
        <f t="shared" si="29"/>
        <v>1900</v>
      </c>
      <c r="F105" s="65"/>
      <c r="G105" s="65"/>
    </row>
    <row r="106" spans="1:12" x14ac:dyDescent="0.3">
      <c r="A106">
        <f t="shared" si="29"/>
        <v>1900</v>
      </c>
      <c r="F106" s="65"/>
      <c r="G106" s="65"/>
    </row>
    <row r="107" spans="1:12" x14ac:dyDescent="0.3">
      <c r="A107">
        <f t="shared" si="29"/>
        <v>1900</v>
      </c>
      <c r="F107" s="65"/>
      <c r="G107" s="65"/>
    </row>
    <row r="108" spans="1:12" x14ac:dyDescent="0.3">
      <c r="A108">
        <f t="shared" si="29"/>
        <v>1900</v>
      </c>
      <c r="F108" s="65"/>
      <c r="G108" s="65"/>
    </row>
    <row r="109" spans="1:12" ht="15" customHeight="1" x14ac:dyDescent="0.3">
      <c r="A109">
        <f t="shared" si="29"/>
        <v>1900</v>
      </c>
      <c r="F109" s="65"/>
      <c r="G109" s="65"/>
    </row>
    <row r="110" spans="1:12" x14ac:dyDescent="0.3">
      <c r="A110">
        <f t="shared" si="29"/>
        <v>1900</v>
      </c>
      <c r="F110" s="65"/>
      <c r="G110" s="65"/>
    </row>
    <row r="111" spans="1:12" x14ac:dyDescent="0.3">
      <c r="A111">
        <f t="shared" si="29"/>
        <v>1900</v>
      </c>
      <c r="F111" s="65"/>
      <c r="G111" s="65"/>
    </row>
    <row r="112" spans="1:12" x14ac:dyDescent="0.3">
      <c r="A112">
        <f t="shared" si="29"/>
        <v>1900</v>
      </c>
      <c r="F112" s="65"/>
      <c r="G112" s="65"/>
    </row>
    <row r="113" spans="1:7" x14ac:dyDescent="0.3">
      <c r="A113">
        <f t="shared" si="29"/>
        <v>1900</v>
      </c>
      <c r="F113" s="65"/>
      <c r="G113" s="65"/>
    </row>
    <row r="114" spans="1:7" x14ac:dyDescent="0.3">
      <c r="A114">
        <f t="shared" si="29"/>
        <v>1900</v>
      </c>
      <c r="F114" s="65"/>
      <c r="G114" s="65"/>
    </row>
    <row r="115" spans="1:7" x14ac:dyDescent="0.3">
      <c r="A115">
        <f t="shared" si="29"/>
        <v>1900</v>
      </c>
      <c r="F115" s="65"/>
      <c r="G115" s="65"/>
    </row>
    <row r="116" spans="1:7" x14ac:dyDescent="0.3">
      <c r="A116">
        <f t="shared" si="29"/>
        <v>1900</v>
      </c>
      <c r="F116" s="65"/>
      <c r="G116" s="65"/>
    </row>
    <row r="117" spans="1:7" x14ac:dyDescent="0.3">
      <c r="A117">
        <f t="shared" si="29"/>
        <v>1900</v>
      </c>
      <c r="F117" s="65"/>
      <c r="G117" s="65"/>
    </row>
    <row r="118" spans="1:7" x14ac:dyDescent="0.3">
      <c r="A118">
        <f t="shared" si="29"/>
        <v>1900</v>
      </c>
      <c r="F118" s="65"/>
      <c r="G118" s="65"/>
    </row>
    <row r="119" spans="1:7" x14ac:dyDescent="0.3">
      <c r="A119">
        <f t="shared" si="29"/>
        <v>1900</v>
      </c>
      <c r="F119" s="65"/>
      <c r="G119" s="65"/>
    </row>
    <row r="120" spans="1:7" x14ac:dyDescent="0.3">
      <c r="A120">
        <f t="shared" si="29"/>
        <v>1900</v>
      </c>
      <c r="F120" s="65"/>
      <c r="G120" s="65"/>
    </row>
    <row r="121" spans="1:7" x14ac:dyDescent="0.3">
      <c r="A121">
        <f t="shared" si="29"/>
        <v>1900</v>
      </c>
      <c r="F121" s="65"/>
      <c r="G121" s="65"/>
    </row>
    <row r="122" spans="1:7" x14ac:dyDescent="0.3">
      <c r="A122">
        <f t="shared" si="29"/>
        <v>1900</v>
      </c>
      <c r="F122" s="65"/>
      <c r="G122" s="65"/>
    </row>
    <row r="123" spans="1:7" x14ac:dyDescent="0.3">
      <c r="A123">
        <f t="shared" si="29"/>
        <v>1900</v>
      </c>
      <c r="F123" s="65"/>
      <c r="G123" s="65"/>
    </row>
    <row r="124" spans="1:7" x14ac:dyDescent="0.3">
      <c r="A124">
        <f t="shared" si="29"/>
        <v>1900</v>
      </c>
      <c r="F124" s="65"/>
      <c r="G124" s="65"/>
    </row>
    <row r="125" spans="1:7" x14ac:dyDescent="0.3">
      <c r="A125">
        <f t="shared" si="29"/>
        <v>1900</v>
      </c>
      <c r="F125" s="65"/>
      <c r="G125" s="65"/>
    </row>
    <row r="126" spans="1:7" x14ac:dyDescent="0.3">
      <c r="A126">
        <f t="shared" si="29"/>
        <v>1900</v>
      </c>
      <c r="F126" s="65"/>
      <c r="G126" s="65"/>
    </row>
    <row r="127" spans="1:7" x14ac:dyDescent="0.3">
      <c r="A127">
        <f t="shared" si="29"/>
        <v>1900</v>
      </c>
      <c r="F127" s="65"/>
      <c r="G127" s="65"/>
    </row>
    <row r="128" spans="1:7" x14ac:dyDescent="0.3">
      <c r="A128">
        <f t="shared" si="29"/>
        <v>1900</v>
      </c>
      <c r="F128" s="65"/>
      <c r="G128" s="65"/>
    </row>
    <row r="129" spans="1:7" x14ac:dyDescent="0.3">
      <c r="A129">
        <f t="shared" si="29"/>
        <v>1900</v>
      </c>
      <c r="F129" s="65"/>
      <c r="G129" s="65"/>
    </row>
    <row r="130" spans="1:7" x14ac:dyDescent="0.3">
      <c r="A130">
        <f t="shared" si="29"/>
        <v>1900</v>
      </c>
    </row>
    <row r="131" spans="1:7" x14ac:dyDescent="0.3">
      <c r="A131">
        <f t="shared" si="29"/>
        <v>1900</v>
      </c>
    </row>
    <row r="132" spans="1:7" x14ac:dyDescent="0.3">
      <c r="A132">
        <f t="shared" si="29"/>
        <v>1900</v>
      </c>
    </row>
    <row r="133" spans="1:7" x14ac:dyDescent="0.3">
      <c r="A133">
        <f t="shared" si="29"/>
        <v>1900</v>
      </c>
    </row>
    <row r="134" spans="1:7" x14ac:dyDescent="0.3">
      <c r="A134">
        <f t="shared" si="29"/>
        <v>1900</v>
      </c>
    </row>
    <row r="135" spans="1:7" x14ac:dyDescent="0.3">
      <c r="A135">
        <f t="shared" si="29"/>
        <v>1900</v>
      </c>
    </row>
    <row r="136" spans="1:7" x14ac:dyDescent="0.3">
      <c r="A136">
        <f t="shared" si="29"/>
        <v>1900</v>
      </c>
    </row>
    <row r="137" spans="1:7" x14ac:dyDescent="0.3">
      <c r="A137">
        <f t="shared" si="29"/>
        <v>1900</v>
      </c>
    </row>
    <row r="138" spans="1:7" x14ac:dyDescent="0.3">
      <c r="A138">
        <f t="shared" ref="A138:A201" si="33">YEAR(B138)</f>
        <v>1900</v>
      </c>
    </row>
    <row r="139" spans="1:7" x14ac:dyDescent="0.3">
      <c r="A139">
        <f t="shared" si="33"/>
        <v>1900</v>
      </c>
    </row>
    <row r="140" spans="1:7" x14ac:dyDescent="0.3">
      <c r="A140">
        <f t="shared" si="33"/>
        <v>1900</v>
      </c>
    </row>
    <row r="141" spans="1:7" x14ac:dyDescent="0.3">
      <c r="A141">
        <f t="shared" si="33"/>
        <v>1900</v>
      </c>
    </row>
    <row r="142" spans="1:7" x14ac:dyDescent="0.3">
      <c r="A142">
        <f t="shared" si="33"/>
        <v>1900</v>
      </c>
    </row>
    <row r="143" spans="1:7" x14ac:dyDescent="0.3">
      <c r="A143">
        <f t="shared" si="33"/>
        <v>1900</v>
      </c>
    </row>
    <row r="144" spans="1:7" x14ac:dyDescent="0.3">
      <c r="A144">
        <f t="shared" si="33"/>
        <v>1900</v>
      </c>
    </row>
    <row r="145" spans="1:18" x14ac:dyDescent="0.3">
      <c r="A145">
        <f t="shared" si="33"/>
        <v>1900</v>
      </c>
    </row>
    <row r="146" spans="1:18" x14ac:dyDescent="0.3">
      <c r="A146">
        <f t="shared" si="33"/>
        <v>1900</v>
      </c>
    </row>
    <row r="147" spans="1:18" x14ac:dyDescent="0.3">
      <c r="A147">
        <f t="shared" si="33"/>
        <v>1900</v>
      </c>
    </row>
    <row r="148" spans="1:18" x14ac:dyDescent="0.3">
      <c r="A148">
        <f t="shared" si="33"/>
        <v>1900</v>
      </c>
    </row>
    <row r="149" spans="1:18" x14ac:dyDescent="0.3">
      <c r="A149">
        <f t="shared" si="33"/>
        <v>1900</v>
      </c>
    </row>
    <row r="150" spans="1:18" x14ac:dyDescent="0.3">
      <c r="A150">
        <f t="shared" si="33"/>
        <v>1900</v>
      </c>
    </row>
    <row r="151" spans="1:18" x14ac:dyDescent="0.3">
      <c r="A151">
        <f t="shared" si="33"/>
        <v>1900</v>
      </c>
      <c r="R151" s="256"/>
    </row>
    <row r="152" spans="1:18" x14ac:dyDescent="0.3">
      <c r="A152">
        <f t="shared" si="33"/>
        <v>1900</v>
      </c>
    </row>
    <row r="153" spans="1:18" x14ac:dyDescent="0.3">
      <c r="A153">
        <f t="shared" si="33"/>
        <v>1900</v>
      </c>
    </row>
    <row r="154" spans="1:18" x14ac:dyDescent="0.3">
      <c r="A154">
        <f t="shared" si="33"/>
        <v>1900</v>
      </c>
    </row>
    <row r="155" spans="1:18" x14ac:dyDescent="0.3">
      <c r="A155">
        <f t="shared" si="33"/>
        <v>1900</v>
      </c>
    </row>
    <row r="156" spans="1:18" x14ac:dyDescent="0.3">
      <c r="A156">
        <f t="shared" si="33"/>
        <v>1900</v>
      </c>
    </row>
    <row r="157" spans="1:18" x14ac:dyDescent="0.3">
      <c r="A157">
        <f t="shared" si="33"/>
        <v>1900</v>
      </c>
    </row>
    <row r="158" spans="1:18" x14ac:dyDescent="0.3">
      <c r="A158">
        <f t="shared" si="33"/>
        <v>1900</v>
      </c>
    </row>
    <row r="159" spans="1:18" x14ac:dyDescent="0.3">
      <c r="A159">
        <f t="shared" si="33"/>
        <v>1900</v>
      </c>
    </row>
    <row r="160" spans="1:18" x14ac:dyDescent="0.3">
      <c r="A160">
        <f t="shared" si="33"/>
        <v>1900</v>
      </c>
    </row>
    <row r="161" spans="1:1" x14ac:dyDescent="0.3">
      <c r="A161">
        <f t="shared" si="33"/>
        <v>1900</v>
      </c>
    </row>
    <row r="162" spans="1:1" x14ac:dyDescent="0.3">
      <c r="A162">
        <f t="shared" si="33"/>
        <v>1900</v>
      </c>
    </row>
    <row r="163" spans="1:1" x14ac:dyDescent="0.3">
      <c r="A163">
        <f t="shared" si="33"/>
        <v>1900</v>
      </c>
    </row>
    <row r="164" spans="1:1" x14ac:dyDescent="0.3">
      <c r="A164">
        <f t="shared" si="33"/>
        <v>1900</v>
      </c>
    </row>
    <row r="165" spans="1:1" x14ac:dyDescent="0.3">
      <c r="A165">
        <f t="shared" si="33"/>
        <v>1900</v>
      </c>
    </row>
    <row r="166" spans="1:1" x14ac:dyDescent="0.3">
      <c r="A166">
        <f t="shared" si="33"/>
        <v>1900</v>
      </c>
    </row>
    <row r="167" spans="1:1" x14ac:dyDescent="0.3">
      <c r="A167">
        <f t="shared" si="33"/>
        <v>1900</v>
      </c>
    </row>
    <row r="168" spans="1:1" x14ac:dyDescent="0.3">
      <c r="A168">
        <f t="shared" si="33"/>
        <v>1900</v>
      </c>
    </row>
    <row r="169" spans="1:1" x14ac:dyDescent="0.3">
      <c r="A169">
        <f t="shared" si="33"/>
        <v>1900</v>
      </c>
    </row>
    <row r="170" spans="1:1" x14ac:dyDescent="0.3">
      <c r="A170">
        <f t="shared" si="33"/>
        <v>1900</v>
      </c>
    </row>
    <row r="171" spans="1:1" x14ac:dyDescent="0.3">
      <c r="A171">
        <f t="shared" si="33"/>
        <v>1900</v>
      </c>
    </row>
    <row r="172" spans="1:1" x14ac:dyDescent="0.3">
      <c r="A172">
        <f t="shared" si="33"/>
        <v>1900</v>
      </c>
    </row>
    <row r="173" spans="1:1" x14ac:dyDescent="0.3">
      <c r="A173">
        <f t="shared" si="33"/>
        <v>1900</v>
      </c>
    </row>
    <row r="174" spans="1:1" x14ac:dyDescent="0.3">
      <c r="A174">
        <f t="shared" si="33"/>
        <v>1900</v>
      </c>
    </row>
    <row r="175" spans="1:1" x14ac:dyDescent="0.3">
      <c r="A175">
        <f t="shared" si="33"/>
        <v>1900</v>
      </c>
    </row>
    <row r="176" spans="1:1" x14ac:dyDescent="0.3">
      <c r="A176">
        <f t="shared" si="33"/>
        <v>1900</v>
      </c>
    </row>
    <row r="177" spans="1:1" x14ac:dyDescent="0.3">
      <c r="A177">
        <f t="shared" si="33"/>
        <v>1900</v>
      </c>
    </row>
    <row r="178" spans="1:1" x14ac:dyDescent="0.3">
      <c r="A178">
        <f t="shared" si="33"/>
        <v>1900</v>
      </c>
    </row>
    <row r="179" spans="1:1" x14ac:dyDescent="0.3">
      <c r="A179">
        <f t="shared" si="33"/>
        <v>1900</v>
      </c>
    </row>
    <row r="180" spans="1:1" x14ac:dyDescent="0.3">
      <c r="A180">
        <f t="shared" si="33"/>
        <v>1900</v>
      </c>
    </row>
    <row r="181" spans="1:1" x14ac:dyDescent="0.3">
      <c r="A181">
        <f t="shared" si="33"/>
        <v>1900</v>
      </c>
    </row>
    <row r="182" spans="1:1" x14ac:dyDescent="0.3">
      <c r="A182">
        <f t="shared" si="33"/>
        <v>1900</v>
      </c>
    </row>
    <row r="183" spans="1:1" x14ac:dyDescent="0.3">
      <c r="A183">
        <f t="shared" si="33"/>
        <v>1900</v>
      </c>
    </row>
    <row r="184" spans="1:1" x14ac:dyDescent="0.3">
      <c r="A184">
        <f t="shared" si="33"/>
        <v>1900</v>
      </c>
    </row>
    <row r="185" spans="1:1" x14ac:dyDescent="0.3">
      <c r="A185">
        <f t="shared" si="33"/>
        <v>1900</v>
      </c>
    </row>
    <row r="186" spans="1:1" x14ac:dyDescent="0.3">
      <c r="A186">
        <f t="shared" si="33"/>
        <v>1900</v>
      </c>
    </row>
    <row r="187" spans="1:1" x14ac:dyDescent="0.3">
      <c r="A187">
        <f t="shared" si="33"/>
        <v>1900</v>
      </c>
    </row>
    <row r="188" spans="1:1" x14ac:dyDescent="0.3">
      <c r="A188">
        <f t="shared" si="33"/>
        <v>1900</v>
      </c>
    </row>
    <row r="189" spans="1:1" x14ac:dyDescent="0.3">
      <c r="A189">
        <f t="shared" si="33"/>
        <v>1900</v>
      </c>
    </row>
    <row r="190" spans="1:1" x14ac:dyDescent="0.3">
      <c r="A190">
        <f t="shared" si="33"/>
        <v>1900</v>
      </c>
    </row>
    <row r="191" spans="1:1" x14ac:dyDescent="0.3">
      <c r="A191">
        <f t="shared" si="33"/>
        <v>1900</v>
      </c>
    </row>
    <row r="192" spans="1:1" x14ac:dyDescent="0.3">
      <c r="A192">
        <f t="shared" si="33"/>
        <v>1900</v>
      </c>
    </row>
    <row r="193" spans="1:1" x14ac:dyDescent="0.3">
      <c r="A193">
        <f t="shared" si="33"/>
        <v>1900</v>
      </c>
    </row>
    <row r="194" spans="1:1" x14ac:dyDescent="0.3">
      <c r="A194">
        <f t="shared" si="33"/>
        <v>1900</v>
      </c>
    </row>
    <row r="195" spans="1:1" x14ac:dyDescent="0.3">
      <c r="A195">
        <f t="shared" si="33"/>
        <v>1900</v>
      </c>
    </row>
    <row r="196" spans="1:1" x14ac:dyDescent="0.3">
      <c r="A196">
        <f t="shared" si="33"/>
        <v>1900</v>
      </c>
    </row>
    <row r="197" spans="1:1" x14ac:dyDescent="0.3">
      <c r="A197">
        <f t="shared" si="33"/>
        <v>1900</v>
      </c>
    </row>
    <row r="198" spans="1:1" x14ac:dyDescent="0.3">
      <c r="A198">
        <f t="shared" si="33"/>
        <v>1900</v>
      </c>
    </row>
    <row r="199" spans="1:1" x14ac:dyDescent="0.3">
      <c r="A199">
        <f t="shared" si="33"/>
        <v>1900</v>
      </c>
    </row>
    <row r="200" spans="1:1" x14ac:dyDescent="0.3">
      <c r="A200">
        <f t="shared" si="33"/>
        <v>1900</v>
      </c>
    </row>
    <row r="201" spans="1:1" x14ac:dyDescent="0.3">
      <c r="A201">
        <f t="shared" si="33"/>
        <v>1900</v>
      </c>
    </row>
    <row r="202" spans="1:1" ht="16.5" customHeight="1" x14ac:dyDescent="0.3">
      <c r="A202">
        <f t="shared" ref="A202:A265" si="34">YEAR(B202)</f>
        <v>1900</v>
      </c>
    </row>
    <row r="203" spans="1:1" x14ac:dyDescent="0.3">
      <c r="A203">
        <f t="shared" si="34"/>
        <v>1900</v>
      </c>
    </row>
    <row r="204" spans="1:1" x14ac:dyDescent="0.3">
      <c r="A204">
        <f t="shared" si="34"/>
        <v>1900</v>
      </c>
    </row>
    <row r="205" spans="1:1" x14ac:dyDescent="0.3">
      <c r="A205">
        <f t="shared" si="34"/>
        <v>1900</v>
      </c>
    </row>
    <row r="206" spans="1:1" x14ac:dyDescent="0.3">
      <c r="A206">
        <f t="shared" si="34"/>
        <v>1900</v>
      </c>
    </row>
    <row r="207" spans="1:1" x14ac:dyDescent="0.3">
      <c r="A207">
        <f t="shared" si="34"/>
        <v>1900</v>
      </c>
    </row>
    <row r="208" spans="1:1" x14ac:dyDescent="0.3">
      <c r="A208">
        <f t="shared" si="34"/>
        <v>1900</v>
      </c>
    </row>
    <row r="209" spans="1:1" x14ac:dyDescent="0.3">
      <c r="A209">
        <f t="shared" si="34"/>
        <v>1900</v>
      </c>
    </row>
    <row r="210" spans="1:1" x14ac:dyDescent="0.3">
      <c r="A210">
        <f t="shared" si="34"/>
        <v>1900</v>
      </c>
    </row>
    <row r="211" spans="1:1" x14ac:dyDescent="0.3">
      <c r="A211">
        <f t="shared" si="34"/>
        <v>1900</v>
      </c>
    </row>
    <row r="212" spans="1:1" x14ac:dyDescent="0.3">
      <c r="A212">
        <f t="shared" si="34"/>
        <v>1900</v>
      </c>
    </row>
    <row r="213" spans="1:1" x14ac:dyDescent="0.3">
      <c r="A213">
        <f t="shared" si="34"/>
        <v>1900</v>
      </c>
    </row>
    <row r="214" spans="1:1" x14ac:dyDescent="0.3">
      <c r="A214">
        <f t="shared" si="34"/>
        <v>1900</v>
      </c>
    </row>
    <row r="215" spans="1:1" x14ac:dyDescent="0.3">
      <c r="A215">
        <f t="shared" si="34"/>
        <v>1900</v>
      </c>
    </row>
    <row r="216" spans="1:1" x14ac:dyDescent="0.3">
      <c r="A216">
        <f t="shared" si="34"/>
        <v>1900</v>
      </c>
    </row>
    <row r="217" spans="1:1" x14ac:dyDescent="0.3">
      <c r="A217">
        <f t="shared" si="34"/>
        <v>1900</v>
      </c>
    </row>
    <row r="218" spans="1:1" x14ac:dyDescent="0.3">
      <c r="A218">
        <f t="shared" si="34"/>
        <v>1900</v>
      </c>
    </row>
    <row r="219" spans="1:1" x14ac:dyDescent="0.3">
      <c r="A219">
        <f t="shared" si="34"/>
        <v>1900</v>
      </c>
    </row>
    <row r="220" spans="1:1" x14ac:dyDescent="0.3">
      <c r="A220">
        <f t="shared" si="34"/>
        <v>1900</v>
      </c>
    </row>
    <row r="221" spans="1:1" x14ac:dyDescent="0.3">
      <c r="A221">
        <f t="shared" si="34"/>
        <v>1900</v>
      </c>
    </row>
    <row r="222" spans="1:1" x14ac:dyDescent="0.3">
      <c r="A222">
        <f t="shared" si="34"/>
        <v>1900</v>
      </c>
    </row>
    <row r="223" spans="1:1" x14ac:dyDescent="0.3">
      <c r="A223">
        <f t="shared" si="34"/>
        <v>1900</v>
      </c>
    </row>
    <row r="224" spans="1:1" x14ac:dyDescent="0.3">
      <c r="A224">
        <f t="shared" si="34"/>
        <v>1900</v>
      </c>
    </row>
    <row r="225" spans="1:1" x14ac:dyDescent="0.3">
      <c r="A225">
        <f t="shared" si="34"/>
        <v>1900</v>
      </c>
    </row>
    <row r="226" spans="1:1" x14ac:dyDescent="0.3">
      <c r="A226">
        <f t="shared" si="34"/>
        <v>1900</v>
      </c>
    </row>
    <row r="227" spans="1:1" x14ac:dyDescent="0.3">
      <c r="A227">
        <f t="shared" si="34"/>
        <v>1900</v>
      </c>
    </row>
    <row r="228" spans="1:1" x14ac:dyDescent="0.3">
      <c r="A228">
        <f t="shared" si="34"/>
        <v>1900</v>
      </c>
    </row>
    <row r="229" spans="1:1" x14ac:dyDescent="0.3">
      <c r="A229">
        <f t="shared" si="34"/>
        <v>1900</v>
      </c>
    </row>
    <row r="230" spans="1:1" x14ac:dyDescent="0.3">
      <c r="A230">
        <f t="shared" si="34"/>
        <v>1900</v>
      </c>
    </row>
    <row r="231" spans="1:1" x14ac:dyDescent="0.3">
      <c r="A231">
        <f t="shared" si="34"/>
        <v>1900</v>
      </c>
    </row>
    <row r="232" spans="1:1" x14ac:dyDescent="0.3">
      <c r="A232">
        <f t="shared" si="34"/>
        <v>1900</v>
      </c>
    </row>
    <row r="233" spans="1:1" x14ac:dyDescent="0.3">
      <c r="A233">
        <f t="shared" si="34"/>
        <v>1900</v>
      </c>
    </row>
    <row r="234" spans="1:1" x14ac:dyDescent="0.3">
      <c r="A234">
        <f t="shared" si="34"/>
        <v>1900</v>
      </c>
    </row>
    <row r="235" spans="1:1" x14ac:dyDescent="0.3">
      <c r="A235">
        <f t="shared" si="34"/>
        <v>1900</v>
      </c>
    </row>
    <row r="236" spans="1:1" x14ac:dyDescent="0.3">
      <c r="A236">
        <f t="shared" si="34"/>
        <v>1900</v>
      </c>
    </row>
    <row r="237" spans="1:1" x14ac:dyDescent="0.3">
      <c r="A237">
        <f t="shared" si="34"/>
        <v>1900</v>
      </c>
    </row>
    <row r="238" spans="1:1" x14ac:dyDescent="0.3">
      <c r="A238">
        <f t="shared" si="34"/>
        <v>1900</v>
      </c>
    </row>
    <row r="239" spans="1:1" x14ac:dyDescent="0.3">
      <c r="A239">
        <f t="shared" si="34"/>
        <v>1900</v>
      </c>
    </row>
    <row r="240" spans="1:1" x14ac:dyDescent="0.3">
      <c r="A240">
        <f t="shared" si="34"/>
        <v>1900</v>
      </c>
    </row>
    <row r="241" spans="1:1" x14ac:dyDescent="0.3">
      <c r="A241">
        <f t="shared" si="34"/>
        <v>1900</v>
      </c>
    </row>
    <row r="242" spans="1:1" x14ac:dyDescent="0.3">
      <c r="A242">
        <f t="shared" si="34"/>
        <v>1900</v>
      </c>
    </row>
    <row r="243" spans="1:1" x14ac:dyDescent="0.3">
      <c r="A243">
        <f t="shared" si="34"/>
        <v>1900</v>
      </c>
    </row>
    <row r="244" spans="1:1" x14ac:dyDescent="0.3">
      <c r="A244">
        <f t="shared" si="34"/>
        <v>1900</v>
      </c>
    </row>
    <row r="245" spans="1:1" x14ac:dyDescent="0.3">
      <c r="A245">
        <f t="shared" si="34"/>
        <v>1900</v>
      </c>
    </row>
    <row r="246" spans="1:1" x14ac:dyDescent="0.3">
      <c r="A246">
        <f t="shared" si="34"/>
        <v>1900</v>
      </c>
    </row>
    <row r="247" spans="1:1" x14ac:dyDescent="0.3">
      <c r="A247">
        <f t="shared" si="34"/>
        <v>1900</v>
      </c>
    </row>
    <row r="248" spans="1:1" x14ac:dyDescent="0.3">
      <c r="A248">
        <f t="shared" si="34"/>
        <v>1900</v>
      </c>
    </row>
    <row r="249" spans="1:1" x14ac:dyDescent="0.3">
      <c r="A249">
        <f t="shared" si="34"/>
        <v>1900</v>
      </c>
    </row>
    <row r="250" spans="1:1" x14ac:dyDescent="0.3">
      <c r="A250">
        <f t="shared" si="34"/>
        <v>1900</v>
      </c>
    </row>
    <row r="251" spans="1:1" x14ac:dyDescent="0.3">
      <c r="A251">
        <f t="shared" si="34"/>
        <v>1900</v>
      </c>
    </row>
    <row r="252" spans="1:1" x14ac:dyDescent="0.3">
      <c r="A252">
        <f t="shared" si="34"/>
        <v>1900</v>
      </c>
    </row>
    <row r="253" spans="1:1" x14ac:dyDescent="0.3">
      <c r="A253">
        <f t="shared" si="34"/>
        <v>1900</v>
      </c>
    </row>
    <row r="254" spans="1:1" x14ac:dyDescent="0.3">
      <c r="A254">
        <f t="shared" si="34"/>
        <v>1900</v>
      </c>
    </row>
    <row r="255" spans="1:1" x14ac:dyDescent="0.3">
      <c r="A255">
        <f t="shared" si="34"/>
        <v>1900</v>
      </c>
    </row>
    <row r="256" spans="1:1" x14ac:dyDescent="0.3">
      <c r="A256">
        <f t="shared" si="34"/>
        <v>1900</v>
      </c>
    </row>
    <row r="257" spans="1:1" x14ac:dyDescent="0.3">
      <c r="A257">
        <f t="shared" si="34"/>
        <v>1900</v>
      </c>
    </row>
    <row r="258" spans="1:1" x14ac:dyDescent="0.3">
      <c r="A258">
        <f t="shared" si="34"/>
        <v>1900</v>
      </c>
    </row>
    <row r="259" spans="1:1" x14ac:dyDescent="0.3">
      <c r="A259">
        <f t="shared" si="34"/>
        <v>1900</v>
      </c>
    </row>
    <row r="260" spans="1:1" x14ac:dyDescent="0.3">
      <c r="A260">
        <f t="shared" si="34"/>
        <v>1900</v>
      </c>
    </row>
    <row r="261" spans="1:1" x14ac:dyDescent="0.3">
      <c r="A261">
        <f t="shared" si="34"/>
        <v>1900</v>
      </c>
    </row>
    <row r="262" spans="1:1" x14ac:dyDescent="0.3">
      <c r="A262">
        <f t="shared" si="34"/>
        <v>1900</v>
      </c>
    </row>
    <row r="263" spans="1:1" x14ac:dyDescent="0.3">
      <c r="A263">
        <f t="shared" si="34"/>
        <v>1900</v>
      </c>
    </row>
    <row r="264" spans="1:1" x14ac:dyDescent="0.3">
      <c r="A264">
        <f t="shared" si="34"/>
        <v>1900</v>
      </c>
    </row>
    <row r="265" spans="1:1" x14ac:dyDescent="0.3">
      <c r="A265">
        <f t="shared" si="34"/>
        <v>1900</v>
      </c>
    </row>
    <row r="266" spans="1:1" x14ac:dyDescent="0.3">
      <c r="A266">
        <f t="shared" ref="A266:A329" si="35">YEAR(B266)</f>
        <v>1900</v>
      </c>
    </row>
    <row r="267" spans="1:1" x14ac:dyDescent="0.3">
      <c r="A267">
        <f t="shared" si="35"/>
        <v>1900</v>
      </c>
    </row>
    <row r="268" spans="1:1" x14ac:dyDescent="0.3">
      <c r="A268">
        <f t="shared" si="35"/>
        <v>1900</v>
      </c>
    </row>
    <row r="269" spans="1:1" x14ac:dyDescent="0.3">
      <c r="A269">
        <f t="shared" si="35"/>
        <v>1900</v>
      </c>
    </row>
    <row r="270" spans="1:1" x14ac:dyDescent="0.3">
      <c r="A270">
        <f t="shared" si="35"/>
        <v>1900</v>
      </c>
    </row>
    <row r="271" spans="1:1" x14ac:dyDescent="0.3">
      <c r="A271">
        <f t="shared" si="35"/>
        <v>1900</v>
      </c>
    </row>
    <row r="272" spans="1:1" x14ac:dyDescent="0.3">
      <c r="A272">
        <f t="shared" si="35"/>
        <v>1900</v>
      </c>
    </row>
    <row r="273" spans="1:1" x14ac:dyDescent="0.3">
      <c r="A273">
        <f t="shared" si="35"/>
        <v>1900</v>
      </c>
    </row>
    <row r="274" spans="1:1" x14ac:dyDescent="0.3">
      <c r="A274">
        <f t="shared" si="35"/>
        <v>1900</v>
      </c>
    </row>
    <row r="275" spans="1:1" x14ac:dyDescent="0.3">
      <c r="A275">
        <f t="shared" si="35"/>
        <v>1900</v>
      </c>
    </row>
    <row r="276" spans="1:1" x14ac:dyDescent="0.3">
      <c r="A276">
        <f t="shared" si="35"/>
        <v>1900</v>
      </c>
    </row>
    <row r="277" spans="1:1" x14ac:dyDescent="0.3">
      <c r="A277">
        <f t="shared" si="35"/>
        <v>1900</v>
      </c>
    </row>
    <row r="278" spans="1:1" x14ac:dyDescent="0.3">
      <c r="A278">
        <f t="shared" si="35"/>
        <v>1900</v>
      </c>
    </row>
    <row r="279" spans="1:1" x14ac:dyDescent="0.3">
      <c r="A279">
        <f t="shared" si="35"/>
        <v>1900</v>
      </c>
    </row>
    <row r="280" spans="1:1" x14ac:dyDescent="0.3">
      <c r="A280">
        <f t="shared" si="35"/>
        <v>1900</v>
      </c>
    </row>
    <row r="281" spans="1:1" x14ac:dyDescent="0.3">
      <c r="A281">
        <f t="shared" si="35"/>
        <v>1900</v>
      </c>
    </row>
    <row r="282" spans="1:1" x14ac:dyDescent="0.3">
      <c r="A282">
        <f t="shared" si="35"/>
        <v>1900</v>
      </c>
    </row>
    <row r="283" spans="1:1" x14ac:dyDescent="0.3">
      <c r="A283">
        <f t="shared" si="35"/>
        <v>1900</v>
      </c>
    </row>
    <row r="284" spans="1:1" x14ac:dyDescent="0.3">
      <c r="A284">
        <f t="shared" si="35"/>
        <v>1900</v>
      </c>
    </row>
    <row r="285" spans="1:1" x14ac:dyDescent="0.3">
      <c r="A285">
        <f t="shared" si="35"/>
        <v>1900</v>
      </c>
    </row>
    <row r="286" spans="1:1" x14ac:dyDescent="0.3">
      <c r="A286">
        <f t="shared" si="35"/>
        <v>1900</v>
      </c>
    </row>
    <row r="287" spans="1:1" x14ac:dyDescent="0.3">
      <c r="A287">
        <f t="shared" si="35"/>
        <v>1900</v>
      </c>
    </row>
    <row r="288" spans="1:1" x14ac:dyDescent="0.3">
      <c r="A288">
        <f t="shared" si="35"/>
        <v>1900</v>
      </c>
    </row>
    <row r="289" spans="1:1" x14ac:dyDescent="0.3">
      <c r="A289">
        <f t="shared" si="35"/>
        <v>1900</v>
      </c>
    </row>
    <row r="290" spans="1:1" x14ac:dyDescent="0.3">
      <c r="A290">
        <f t="shared" si="35"/>
        <v>1900</v>
      </c>
    </row>
    <row r="291" spans="1:1" x14ac:dyDescent="0.3">
      <c r="A291">
        <f t="shared" si="35"/>
        <v>1900</v>
      </c>
    </row>
    <row r="292" spans="1:1" x14ac:dyDescent="0.3">
      <c r="A292">
        <f t="shared" si="35"/>
        <v>1900</v>
      </c>
    </row>
    <row r="293" spans="1:1" x14ac:dyDescent="0.3">
      <c r="A293">
        <f t="shared" si="35"/>
        <v>1900</v>
      </c>
    </row>
    <row r="294" spans="1:1" x14ac:dyDescent="0.3">
      <c r="A294">
        <f t="shared" si="35"/>
        <v>1900</v>
      </c>
    </row>
    <row r="295" spans="1:1" x14ac:dyDescent="0.3">
      <c r="A295">
        <f t="shared" si="35"/>
        <v>1900</v>
      </c>
    </row>
    <row r="296" spans="1:1" x14ac:dyDescent="0.3">
      <c r="A296">
        <f t="shared" si="35"/>
        <v>1900</v>
      </c>
    </row>
    <row r="297" spans="1:1" x14ac:dyDescent="0.3">
      <c r="A297">
        <f t="shared" si="35"/>
        <v>1900</v>
      </c>
    </row>
    <row r="298" spans="1:1" x14ac:dyDescent="0.3">
      <c r="A298">
        <f t="shared" si="35"/>
        <v>1900</v>
      </c>
    </row>
    <row r="299" spans="1:1" x14ac:dyDescent="0.3">
      <c r="A299">
        <f t="shared" si="35"/>
        <v>1900</v>
      </c>
    </row>
    <row r="300" spans="1:1" x14ac:dyDescent="0.3">
      <c r="A300">
        <f t="shared" si="35"/>
        <v>1900</v>
      </c>
    </row>
    <row r="301" spans="1:1" x14ac:dyDescent="0.3">
      <c r="A301">
        <f t="shared" si="35"/>
        <v>1900</v>
      </c>
    </row>
    <row r="302" spans="1:1" x14ac:dyDescent="0.3">
      <c r="A302">
        <f t="shared" si="35"/>
        <v>1900</v>
      </c>
    </row>
    <row r="303" spans="1:1" x14ac:dyDescent="0.3">
      <c r="A303">
        <f t="shared" si="35"/>
        <v>1900</v>
      </c>
    </row>
    <row r="304" spans="1:1" x14ac:dyDescent="0.3">
      <c r="A304">
        <f t="shared" si="35"/>
        <v>1900</v>
      </c>
    </row>
    <row r="305" spans="1:1" x14ac:dyDescent="0.3">
      <c r="A305">
        <f t="shared" si="35"/>
        <v>1900</v>
      </c>
    </row>
    <row r="306" spans="1:1" x14ac:dyDescent="0.3">
      <c r="A306">
        <f t="shared" si="35"/>
        <v>1900</v>
      </c>
    </row>
    <row r="307" spans="1:1" x14ac:dyDescent="0.3">
      <c r="A307">
        <f t="shared" si="35"/>
        <v>1900</v>
      </c>
    </row>
    <row r="308" spans="1:1" x14ac:dyDescent="0.3">
      <c r="A308">
        <f t="shared" si="35"/>
        <v>1900</v>
      </c>
    </row>
    <row r="309" spans="1:1" x14ac:dyDescent="0.3">
      <c r="A309">
        <f t="shared" si="35"/>
        <v>1900</v>
      </c>
    </row>
    <row r="310" spans="1:1" x14ac:dyDescent="0.3">
      <c r="A310">
        <f t="shared" si="35"/>
        <v>1900</v>
      </c>
    </row>
    <row r="311" spans="1:1" x14ac:dyDescent="0.3">
      <c r="A311">
        <f t="shared" si="35"/>
        <v>1900</v>
      </c>
    </row>
    <row r="312" spans="1:1" x14ac:dyDescent="0.3">
      <c r="A312">
        <f t="shared" si="35"/>
        <v>1900</v>
      </c>
    </row>
    <row r="313" spans="1:1" x14ac:dyDescent="0.3">
      <c r="A313">
        <f t="shared" si="35"/>
        <v>1900</v>
      </c>
    </row>
    <row r="314" spans="1:1" x14ac:dyDescent="0.3">
      <c r="A314">
        <f t="shared" si="35"/>
        <v>1900</v>
      </c>
    </row>
    <row r="315" spans="1:1" x14ac:dyDescent="0.3">
      <c r="A315">
        <f t="shared" si="35"/>
        <v>1900</v>
      </c>
    </row>
    <row r="316" spans="1:1" x14ac:dyDescent="0.3">
      <c r="A316">
        <f t="shared" si="35"/>
        <v>1900</v>
      </c>
    </row>
    <row r="317" spans="1:1" x14ac:dyDescent="0.3">
      <c r="A317">
        <f t="shared" si="35"/>
        <v>1900</v>
      </c>
    </row>
    <row r="318" spans="1:1" x14ac:dyDescent="0.3">
      <c r="A318">
        <f t="shared" si="35"/>
        <v>1900</v>
      </c>
    </row>
    <row r="319" spans="1:1" x14ac:dyDescent="0.3">
      <c r="A319">
        <f t="shared" si="35"/>
        <v>1900</v>
      </c>
    </row>
    <row r="320" spans="1:1" x14ac:dyDescent="0.3">
      <c r="A320">
        <f t="shared" si="35"/>
        <v>1900</v>
      </c>
    </row>
    <row r="321" spans="1:1" x14ac:dyDescent="0.3">
      <c r="A321">
        <f t="shared" si="35"/>
        <v>1900</v>
      </c>
    </row>
    <row r="322" spans="1:1" x14ac:dyDescent="0.3">
      <c r="A322">
        <f t="shared" si="35"/>
        <v>1900</v>
      </c>
    </row>
    <row r="323" spans="1:1" x14ac:dyDescent="0.3">
      <c r="A323">
        <f t="shared" si="35"/>
        <v>1900</v>
      </c>
    </row>
    <row r="324" spans="1:1" x14ac:dyDescent="0.3">
      <c r="A324">
        <f t="shared" si="35"/>
        <v>1900</v>
      </c>
    </row>
    <row r="325" spans="1:1" x14ac:dyDescent="0.3">
      <c r="A325">
        <f t="shared" si="35"/>
        <v>1900</v>
      </c>
    </row>
    <row r="326" spans="1:1" x14ac:dyDescent="0.3">
      <c r="A326">
        <f t="shared" si="35"/>
        <v>1900</v>
      </c>
    </row>
    <row r="327" spans="1:1" x14ac:dyDescent="0.3">
      <c r="A327">
        <f t="shared" si="35"/>
        <v>1900</v>
      </c>
    </row>
    <row r="328" spans="1:1" x14ac:dyDescent="0.3">
      <c r="A328">
        <f t="shared" si="35"/>
        <v>1900</v>
      </c>
    </row>
    <row r="329" spans="1:1" x14ac:dyDescent="0.3">
      <c r="A329">
        <f t="shared" si="35"/>
        <v>1900</v>
      </c>
    </row>
    <row r="330" spans="1:1" x14ac:dyDescent="0.3">
      <c r="A330">
        <f t="shared" ref="A330:A393" si="36">YEAR(B330)</f>
        <v>1900</v>
      </c>
    </row>
    <row r="331" spans="1:1" x14ac:dyDescent="0.3">
      <c r="A331">
        <f t="shared" si="36"/>
        <v>1900</v>
      </c>
    </row>
    <row r="332" spans="1:1" x14ac:dyDescent="0.3">
      <c r="A332">
        <f t="shared" si="36"/>
        <v>1900</v>
      </c>
    </row>
    <row r="333" spans="1:1" x14ac:dyDescent="0.3">
      <c r="A333">
        <f t="shared" si="36"/>
        <v>1900</v>
      </c>
    </row>
    <row r="334" spans="1:1" x14ac:dyDescent="0.3">
      <c r="A334">
        <f t="shared" si="36"/>
        <v>1900</v>
      </c>
    </row>
    <row r="335" spans="1:1" x14ac:dyDescent="0.3">
      <c r="A335">
        <f t="shared" si="36"/>
        <v>1900</v>
      </c>
    </row>
    <row r="336" spans="1:1" x14ac:dyDescent="0.3">
      <c r="A336">
        <f t="shared" si="36"/>
        <v>1900</v>
      </c>
    </row>
    <row r="337" spans="1:1" x14ac:dyDescent="0.3">
      <c r="A337">
        <f t="shared" si="36"/>
        <v>1900</v>
      </c>
    </row>
    <row r="338" spans="1:1" x14ac:dyDescent="0.3">
      <c r="A338">
        <f t="shared" si="36"/>
        <v>1900</v>
      </c>
    </row>
    <row r="339" spans="1:1" x14ac:dyDescent="0.3">
      <c r="A339">
        <f t="shared" si="36"/>
        <v>1900</v>
      </c>
    </row>
    <row r="340" spans="1:1" x14ac:dyDescent="0.3">
      <c r="A340">
        <f t="shared" si="36"/>
        <v>1900</v>
      </c>
    </row>
    <row r="341" spans="1:1" x14ac:dyDescent="0.3">
      <c r="A341">
        <f t="shared" si="36"/>
        <v>1900</v>
      </c>
    </row>
    <row r="342" spans="1:1" x14ac:dyDescent="0.3">
      <c r="A342">
        <f t="shared" si="36"/>
        <v>1900</v>
      </c>
    </row>
    <row r="343" spans="1:1" x14ac:dyDescent="0.3">
      <c r="A343">
        <f t="shared" si="36"/>
        <v>1900</v>
      </c>
    </row>
    <row r="344" spans="1:1" x14ac:dyDescent="0.3">
      <c r="A344">
        <f t="shared" si="36"/>
        <v>1900</v>
      </c>
    </row>
    <row r="345" spans="1:1" x14ac:dyDescent="0.3">
      <c r="A345">
        <f t="shared" si="36"/>
        <v>1900</v>
      </c>
    </row>
    <row r="346" spans="1:1" x14ac:dyDescent="0.3">
      <c r="A346">
        <f t="shared" si="36"/>
        <v>1900</v>
      </c>
    </row>
    <row r="347" spans="1:1" x14ac:dyDescent="0.3">
      <c r="A347">
        <f t="shared" si="36"/>
        <v>1900</v>
      </c>
    </row>
    <row r="348" spans="1:1" x14ac:dyDescent="0.3">
      <c r="A348">
        <f t="shared" si="36"/>
        <v>1900</v>
      </c>
    </row>
    <row r="349" spans="1:1" x14ac:dyDescent="0.3">
      <c r="A349">
        <f t="shared" si="36"/>
        <v>1900</v>
      </c>
    </row>
    <row r="350" spans="1:1" x14ac:dyDescent="0.3">
      <c r="A350">
        <f t="shared" si="36"/>
        <v>1900</v>
      </c>
    </row>
    <row r="351" spans="1:1" x14ac:dyDescent="0.3">
      <c r="A351">
        <f t="shared" si="36"/>
        <v>1900</v>
      </c>
    </row>
    <row r="352" spans="1:1" x14ac:dyDescent="0.3">
      <c r="A352">
        <f t="shared" si="36"/>
        <v>1900</v>
      </c>
    </row>
    <row r="353" spans="1:1" x14ac:dyDescent="0.3">
      <c r="A353">
        <f t="shared" si="36"/>
        <v>1900</v>
      </c>
    </row>
    <row r="354" spans="1:1" x14ac:dyDescent="0.3">
      <c r="A354">
        <f t="shared" si="36"/>
        <v>1900</v>
      </c>
    </row>
    <row r="355" spans="1:1" x14ac:dyDescent="0.3">
      <c r="A355">
        <f t="shared" si="36"/>
        <v>1900</v>
      </c>
    </row>
    <row r="356" spans="1:1" x14ac:dyDescent="0.3">
      <c r="A356">
        <f t="shared" si="36"/>
        <v>1900</v>
      </c>
    </row>
    <row r="357" spans="1:1" x14ac:dyDescent="0.3">
      <c r="A357">
        <f t="shared" si="36"/>
        <v>1900</v>
      </c>
    </row>
    <row r="358" spans="1:1" x14ac:dyDescent="0.3">
      <c r="A358">
        <f t="shared" si="36"/>
        <v>1900</v>
      </c>
    </row>
    <row r="359" spans="1:1" x14ac:dyDescent="0.3">
      <c r="A359">
        <f t="shared" si="36"/>
        <v>1900</v>
      </c>
    </row>
    <row r="360" spans="1:1" x14ac:dyDescent="0.3">
      <c r="A360">
        <f t="shared" si="36"/>
        <v>1900</v>
      </c>
    </row>
    <row r="361" spans="1:1" x14ac:dyDescent="0.3">
      <c r="A361">
        <f t="shared" si="36"/>
        <v>1900</v>
      </c>
    </row>
    <row r="362" spans="1:1" x14ac:dyDescent="0.3">
      <c r="A362">
        <f t="shared" si="36"/>
        <v>1900</v>
      </c>
    </row>
    <row r="363" spans="1:1" x14ac:dyDescent="0.3">
      <c r="A363">
        <f t="shared" si="36"/>
        <v>1900</v>
      </c>
    </row>
    <row r="364" spans="1:1" x14ac:dyDescent="0.3">
      <c r="A364">
        <f t="shared" si="36"/>
        <v>1900</v>
      </c>
    </row>
    <row r="365" spans="1:1" x14ac:dyDescent="0.3">
      <c r="A365">
        <f t="shared" si="36"/>
        <v>1900</v>
      </c>
    </row>
    <row r="366" spans="1:1" x14ac:dyDescent="0.3">
      <c r="A366">
        <f t="shared" si="36"/>
        <v>1900</v>
      </c>
    </row>
    <row r="367" spans="1:1" x14ac:dyDescent="0.3">
      <c r="A367">
        <f t="shared" si="36"/>
        <v>1900</v>
      </c>
    </row>
    <row r="368" spans="1:1" x14ac:dyDescent="0.3">
      <c r="A368">
        <f t="shared" si="36"/>
        <v>1900</v>
      </c>
    </row>
    <row r="369" spans="1:1" x14ac:dyDescent="0.3">
      <c r="A369">
        <f t="shared" si="36"/>
        <v>1900</v>
      </c>
    </row>
    <row r="370" spans="1:1" x14ac:dyDescent="0.3">
      <c r="A370">
        <f t="shared" si="36"/>
        <v>1900</v>
      </c>
    </row>
    <row r="371" spans="1:1" x14ac:dyDescent="0.3">
      <c r="A371">
        <f t="shared" si="36"/>
        <v>1900</v>
      </c>
    </row>
    <row r="372" spans="1:1" x14ac:dyDescent="0.3">
      <c r="A372">
        <f t="shared" si="36"/>
        <v>1900</v>
      </c>
    </row>
    <row r="373" spans="1:1" x14ac:dyDescent="0.3">
      <c r="A373">
        <f t="shared" si="36"/>
        <v>1900</v>
      </c>
    </row>
    <row r="374" spans="1:1" x14ac:dyDescent="0.3">
      <c r="A374">
        <f t="shared" si="36"/>
        <v>1900</v>
      </c>
    </row>
    <row r="375" spans="1:1" x14ac:dyDescent="0.3">
      <c r="A375">
        <f t="shared" si="36"/>
        <v>1900</v>
      </c>
    </row>
    <row r="376" spans="1:1" x14ac:dyDescent="0.3">
      <c r="A376">
        <f t="shared" si="36"/>
        <v>1900</v>
      </c>
    </row>
    <row r="377" spans="1:1" x14ac:dyDescent="0.3">
      <c r="A377">
        <f t="shared" si="36"/>
        <v>1900</v>
      </c>
    </row>
    <row r="378" spans="1:1" x14ac:dyDescent="0.3">
      <c r="A378">
        <f t="shared" si="36"/>
        <v>1900</v>
      </c>
    </row>
    <row r="379" spans="1:1" x14ac:dyDescent="0.3">
      <c r="A379">
        <f t="shared" si="36"/>
        <v>1900</v>
      </c>
    </row>
    <row r="380" spans="1:1" x14ac:dyDescent="0.3">
      <c r="A380">
        <f t="shared" si="36"/>
        <v>1900</v>
      </c>
    </row>
    <row r="381" spans="1:1" x14ac:dyDescent="0.3">
      <c r="A381">
        <f t="shared" si="36"/>
        <v>1900</v>
      </c>
    </row>
    <row r="382" spans="1:1" x14ac:dyDescent="0.3">
      <c r="A382">
        <f t="shared" si="36"/>
        <v>1900</v>
      </c>
    </row>
    <row r="383" spans="1:1" x14ac:dyDescent="0.3">
      <c r="A383">
        <f t="shared" si="36"/>
        <v>1900</v>
      </c>
    </row>
    <row r="384" spans="1:1" x14ac:dyDescent="0.3">
      <c r="A384">
        <f t="shared" si="36"/>
        <v>1900</v>
      </c>
    </row>
    <row r="385" spans="1:1" x14ac:dyDescent="0.3">
      <c r="A385">
        <f t="shared" si="36"/>
        <v>1900</v>
      </c>
    </row>
    <row r="386" spans="1:1" x14ac:dyDescent="0.3">
      <c r="A386">
        <f t="shared" si="36"/>
        <v>1900</v>
      </c>
    </row>
    <row r="387" spans="1:1" x14ac:dyDescent="0.3">
      <c r="A387">
        <f t="shared" si="36"/>
        <v>1900</v>
      </c>
    </row>
    <row r="388" spans="1:1" x14ac:dyDescent="0.3">
      <c r="A388">
        <f t="shared" si="36"/>
        <v>1900</v>
      </c>
    </row>
    <row r="389" spans="1:1" x14ac:dyDescent="0.3">
      <c r="A389">
        <f t="shared" si="36"/>
        <v>1900</v>
      </c>
    </row>
    <row r="390" spans="1:1" x14ac:dyDescent="0.3">
      <c r="A390">
        <f t="shared" si="36"/>
        <v>1900</v>
      </c>
    </row>
    <row r="391" spans="1:1" x14ac:dyDescent="0.3">
      <c r="A391">
        <f t="shared" si="36"/>
        <v>1900</v>
      </c>
    </row>
    <row r="392" spans="1:1" x14ac:dyDescent="0.3">
      <c r="A392">
        <f t="shared" si="36"/>
        <v>1900</v>
      </c>
    </row>
    <row r="393" spans="1:1" x14ac:dyDescent="0.3">
      <c r="A393">
        <f t="shared" si="36"/>
        <v>1900</v>
      </c>
    </row>
    <row r="394" spans="1:1" x14ac:dyDescent="0.3">
      <c r="A394">
        <f t="shared" ref="A394:A457" si="37">YEAR(B394)</f>
        <v>1900</v>
      </c>
    </row>
    <row r="395" spans="1:1" x14ac:dyDescent="0.3">
      <c r="A395">
        <f t="shared" si="37"/>
        <v>1900</v>
      </c>
    </row>
    <row r="396" spans="1:1" x14ac:dyDescent="0.3">
      <c r="A396">
        <f t="shared" si="37"/>
        <v>1900</v>
      </c>
    </row>
    <row r="397" spans="1:1" x14ac:dyDescent="0.3">
      <c r="A397">
        <f t="shared" si="37"/>
        <v>1900</v>
      </c>
    </row>
    <row r="398" spans="1:1" x14ac:dyDescent="0.3">
      <c r="A398">
        <f t="shared" si="37"/>
        <v>1900</v>
      </c>
    </row>
    <row r="399" spans="1:1" x14ac:dyDescent="0.3">
      <c r="A399">
        <f t="shared" si="37"/>
        <v>1900</v>
      </c>
    </row>
    <row r="400" spans="1:1" x14ac:dyDescent="0.3">
      <c r="A400">
        <f t="shared" si="37"/>
        <v>1900</v>
      </c>
    </row>
    <row r="401" spans="1:1" x14ac:dyDescent="0.3">
      <c r="A401">
        <f t="shared" si="37"/>
        <v>1900</v>
      </c>
    </row>
    <row r="402" spans="1:1" x14ac:dyDescent="0.3">
      <c r="A402">
        <f t="shared" si="37"/>
        <v>1900</v>
      </c>
    </row>
    <row r="403" spans="1:1" x14ac:dyDescent="0.3">
      <c r="A403">
        <f t="shared" si="37"/>
        <v>1900</v>
      </c>
    </row>
    <row r="404" spans="1:1" x14ac:dyDescent="0.3">
      <c r="A404">
        <f t="shared" si="37"/>
        <v>1900</v>
      </c>
    </row>
    <row r="405" spans="1:1" x14ac:dyDescent="0.3">
      <c r="A405">
        <f t="shared" si="37"/>
        <v>1900</v>
      </c>
    </row>
    <row r="406" spans="1:1" x14ac:dyDescent="0.3">
      <c r="A406">
        <f t="shared" si="37"/>
        <v>1900</v>
      </c>
    </row>
    <row r="407" spans="1:1" x14ac:dyDescent="0.3">
      <c r="A407">
        <f t="shared" si="37"/>
        <v>1900</v>
      </c>
    </row>
    <row r="408" spans="1:1" x14ac:dyDescent="0.3">
      <c r="A408">
        <f t="shared" si="37"/>
        <v>1900</v>
      </c>
    </row>
    <row r="409" spans="1:1" x14ac:dyDescent="0.3">
      <c r="A409">
        <f t="shared" si="37"/>
        <v>1900</v>
      </c>
    </row>
    <row r="410" spans="1:1" x14ac:dyDescent="0.3">
      <c r="A410">
        <f t="shared" si="37"/>
        <v>1900</v>
      </c>
    </row>
    <row r="411" spans="1:1" x14ac:dyDescent="0.3">
      <c r="A411">
        <f t="shared" si="37"/>
        <v>1900</v>
      </c>
    </row>
    <row r="412" spans="1:1" x14ac:dyDescent="0.3">
      <c r="A412">
        <f t="shared" si="37"/>
        <v>1900</v>
      </c>
    </row>
    <row r="413" spans="1:1" x14ac:dyDescent="0.3">
      <c r="A413">
        <f t="shared" si="37"/>
        <v>1900</v>
      </c>
    </row>
    <row r="414" spans="1:1" x14ac:dyDescent="0.3">
      <c r="A414">
        <f t="shared" si="37"/>
        <v>1900</v>
      </c>
    </row>
    <row r="415" spans="1:1" x14ac:dyDescent="0.3">
      <c r="A415">
        <f t="shared" si="37"/>
        <v>1900</v>
      </c>
    </row>
    <row r="416" spans="1:1" x14ac:dyDescent="0.3">
      <c r="A416">
        <f t="shared" si="37"/>
        <v>1900</v>
      </c>
    </row>
    <row r="417" spans="1:1" x14ac:dyDescent="0.3">
      <c r="A417">
        <f t="shared" si="37"/>
        <v>1900</v>
      </c>
    </row>
    <row r="418" spans="1:1" x14ac:dyDescent="0.3">
      <c r="A418">
        <f t="shared" si="37"/>
        <v>1900</v>
      </c>
    </row>
    <row r="419" spans="1:1" x14ac:dyDescent="0.3">
      <c r="A419">
        <f t="shared" si="37"/>
        <v>1900</v>
      </c>
    </row>
    <row r="420" spans="1:1" x14ac:dyDescent="0.3">
      <c r="A420">
        <f t="shared" si="37"/>
        <v>1900</v>
      </c>
    </row>
    <row r="421" spans="1:1" x14ac:dyDescent="0.3">
      <c r="A421">
        <f t="shared" si="37"/>
        <v>1900</v>
      </c>
    </row>
    <row r="422" spans="1:1" x14ac:dyDescent="0.3">
      <c r="A422">
        <f t="shared" si="37"/>
        <v>1900</v>
      </c>
    </row>
    <row r="423" spans="1:1" x14ac:dyDescent="0.3">
      <c r="A423">
        <f t="shared" si="37"/>
        <v>1900</v>
      </c>
    </row>
    <row r="424" spans="1:1" x14ac:dyDescent="0.3">
      <c r="A424">
        <f t="shared" si="37"/>
        <v>1900</v>
      </c>
    </row>
    <row r="425" spans="1:1" x14ac:dyDescent="0.3">
      <c r="A425">
        <f t="shared" si="37"/>
        <v>1900</v>
      </c>
    </row>
    <row r="426" spans="1:1" x14ac:dyDescent="0.3">
      <c r="A426">
        <f t="shared" si="37"/>
        <v>1900</v>
      </c>
    </row>
    <row r="427" spans="1:1" x14ac:dyDescent="0.3">
      <c r="A427">
        <f t="shared" si="37"/>
        <v>1900</v>
      </c>
    </row>
    <row r="428" spans="1:1" x14ac:dyDescent="0.3">
      <c r="A428">
        <f t="shared" si="37"/>
        <v>1900</v>
      </c>
    </row>
    <row r="429" spans="1:1" x14ac:dyDescent="0.3">
      <c r="A429">
        <f t="shared" si="37"/>
        <v>1900</v>
      </c>
    </row>
    <row r="430" spans="1:1" x14ac:dyDescent="0.3">
      <c r="A430">
        <f t="shared" si="37"/>
        <v>1900</v>
      </c>
    </row>
    <row r="431" spans="1:1" x14ac:dyDescent="0.3">
      <c r="A431">
        <f t="shared" si="37"/>
        <v>1900</v>
      </c>
    </row>
    <row r="432" spans="1:1" x14ac:dyDescent="0.3">
      <c r="A432">
        <f t="shared" si="37"/>
        <v>1900</v>
      </c>
    </row>
    <row r="433" spans="1:1" x14ac:dyDescent="0.3">
      <c r="A433">
        <f t="shared" si="37"/>
        <v>1900</v>
      </c>
    </row>
    <row r="434" spans="1:1" x14ac:dyDescent="0.3">
      <c r="A434">
        <f t="shared" si="37"/>
        <v>1900</v>
      </c>
    </row>
    <row r="435" spans="1:1" x14ac:dyDescent="0.3">
      <c r="A435">
        <f t="shared" si="37"/>
        <v>1900</v>
      </c>
    </row>
    <row r="436" spans="1:1" x14ac:dyDescent="0.3">
      <c r="A436">
        <f t="shared" si="37"/>
        <v>1900</v>
      </c>
    </row>
    <row r="437" spans="1:1" x14ac:dyDescent="0.3">
      <c r="A437">
        <f t="shared" si="37"/>
        <v>1900</v>
      </c>
    </row>
    <row r="438" spans="1:1" x14ac:dyDescent="0.3">
      <c r="A438">
        <f t="shared" si="37"/>
        <v>1900</v>
      </c>
    </row>
    <row r="439" spans="1:1" x14ac:dyDescent="0.3">
      <c r="A439">
        <f t="shared" si="37"/>
        <v>1900</v>
      </c>
    </row>
    <row r="440" spans="1:1" x14ac:dyDescent="0.3">
      <c r="A440">
        <f t="shared" si="37"/>
        <v>1900</v>
      </c>
    </row>
    <row r="441" spans="1:1" x14ac:dyDescent="0.3">
      <c r="A441">
        <f t="shared" si="37"/>
        <v>1900</v>
      </c>
    </row>
    <row r="442" spans="1:1" x14ac:dyDescent="0.3">
      <c r="A442">
        <f t="shared" si="37"/>
        <v>1900</v>
      </c>
    </row>
    <row r="443" spans="1:1" x14ac:dyDescent="0.3">
      <c r="A443">
        <f t="shared" si="37"/>
        <v>1900</v>
      </c>
    </row>
    <row r="444" spans="1:1" x14ac:dyDescent="0.3">
      <c r="A444">
        <f t="shared" si="37"/>
        <v>1900</v>
      </c>
    </row>
    <row r="445" spans="1:1" x14ac:dyDescent="0.3">
      <c r="A445">
        <f t="shared" si="37"/>
        <v>1900</v>
      </c>
    </row>
    <row r="446" spans="1:1" x14ac:dyDescent="0.3">
      <c r="A446">
        <f t="shared" si="37"/>
        <v>1900</v>
      </c>
    </row>
    <row r="447" spans="1:1" x14ac:dyDescent="0.3">
      <c r="A447">
        <f t="shared" si="37"/>
        <v>1900</v>
      </c>
    </row>
    <row r="448" spans="1:1" x14ac:dyDescent="0.3">
      <c r="A448">
        <f t="shared" si="37"/>
        <v>1900</v>
      </c>
    </row>
    <row r="449" spans="1:1" x14ac:dyDescent="0.3">
      <c r="A449">
        <f t="shared" si="37"/>
        <v>1900</v>
      </c>
    </row>
    <row r="450" spans="1:1" x14ac:dyDescent="0.3">
      <c r="A450">
        <f t="shared" si="37"/>
        <v>1900</v>
      </c>
    </row>
    <row r="451" spans="1:1" x14ac:dyDescent="0.3">
      <c r="A451">
        <f t="shared" si="37"/>
        <v>1900</v>
      </c>
    </row>
    <row r="452" spans="1:1" x14ac:dyDescent="0.3">
      <c r="A452">
        <f t="shared" si="37"/>
        <v>1900</v>
      </c>
    </row>
    <row r="453" spans="1:1" x14ac:dyDescent="0.3">
      <c r="A453">
        <f t="shared" si="37"/>
        <v>1900</v>
      </c>
    </row>
    <row r="454" spans="1:1" x14ac:dyDescent="0.3">
      <c r="A454">
        <f t="shared" si="37"/>
        <v>1900</v>
      </c>
    </row>
    <row r="455" spans="1:1" x14ac:dyDescent="0.3">
      <c r="A455">
        <f t="shared" si="37"/>
        <v>1900</v>
      </c>
    </row>
    <row r="456" spans="1:1" x14ac:dyDescent="0.3">
      <c r="A456">
        <f t="shared" si="37"/>
        <v>1900</v>
      </c>
    </row>
    <row r="457" spans="1:1" x14ac:dyDescent="0.3">
      <c r="A457">
        <f t="shared" si="37"/>
        <v>1900</v>
      </c>
    </row>
    <row r="458" spans="1:1" x14ac:dyDescent="0.3">
      <c r="A458">
        <f t="shared" ref="A458:A521" si="38">YEAR(B458)</f>
        <v>1900</v>
      </c>
    </row>
    <row r="459" spans="1:1" x14ac:dyDescent="0.3">
      <c r="A459">
        <f t="shared" si="38"/>
        <v>1900</v>
      </c>
    </row>
    <row r="460" spans="1:1" x14ac:dyDescent="0.3">
      <c r="A460">
        <f t="shared" si="38"/>
        <v>1900</v>
      </c>
    </row>
    <row r="461" spans="1:1" x14ac:dyDescent="0.3">
      <c r="A461">
        <f t="shared" si="38"/>
        <v>1900</v>
      </c>
    </row>
    <row r="462" spans="1:1" x14ac:dyDescent="0.3">
      <c r="A462">
        <f t="shared" si="38"/>
        <v>1900</v>
      </c>
    </row>
    <row r="463" spans="1:1" x14ac:dyDescent="0.3">
      <c r="A463">
        <f t="shared" si="38"/>
        <v>1900</v>
      </c>
    </row>
    <row r="464" spans="1:1" x14ac:dyDescent="0.3">
      <c r="A464">
        <f t="shared" si="38"/>
        <v>1900</v>
      </c>
    </row>
    <row r="465" spans="1:1" x14ac:dyDescent="0.3">
      <c r="A465">
        <f t="shared" si="38"/>
        <v>1900</v>
      </c>
    </row>
    <row r="466" spans="1:1" x14ac:dyDescent="0.3">
      <c r="A466">
        <f t="shared" si="38"/>
        <v>1900</v>
      </c>
    </row>
    <row r="467" spans="1:1" x14ac:dyDescent="0.3">
      <c r="A467">
        <f t="shared" si="38"/>
        <v>1900</v>
      </c>
    </row>
    <row r="468" spans="1:1" x14ac:dyDescent="0.3">
      <c r="A468">
        <f t="shared" si="38"/>
        <v>1900</v>
      </c>
    </row>
    <row r="469" spans="1:1" x14ac:dyDescent="0.3">
      <c r="A469">
        <f t="shared" si="38"/>
        <v>1900</v>
      </c>
    </row>
    <row r="470" spans="1:1" x14ac:dyDescent="0.3">
      <c r="A470">
        <f t="shared" si="38"/>
        <v>1900</v>
      </c>
    </row>
    <row r="471" spans="1:1" x14ac:dyDescent="0.3">
      <c r="A471">
        <f t="shared" si="38"/>
        <v>1900</v>
      </c>
    </row>
    <row r="472" spans="1:1" x14ac:dyDescent="0.3">
      <c r="A472">
        <f t="shared" si="38"/>
        <v>1900</v>
      </c>
    </row>
    <row r="473" spans="1:1" x14ac:dyDescent="0.3">
      <c r="A473">
        <f t="shared" si="38"/>
        <v>1900</v>
      </c>
    </row>
    <row r="474" spans="1:1" x14ac:dyDescent="0.3">
      <c r="A474">
        <f t="shared" si="38"/>
        <v>1900</v>
      </c>
    </row>
    <row r="475" spans="1:1" x14ac:dyDescent="0.3">
      <c r="A475">
        <f t="shared" si="38"/>
        <v>1900</v>
      </c>
    </row>
    <row r="476" spans="1:1" x14ac:dyDescent="0.3">
      <c r="A476">
        <f t="shared" si="38"/>
        <v>1900</v>
      </c>
    </row>
    <row r="477" spans="1:1" x14ac:dyDescent="0.3">
      <c r="A477">
        <f t="shared" si="38"/>
        <v>1900</v>
      </c>
    </row>
    <row r="478" spans="1:1" x14ac:dyDescent="0.3">
      <c r="A478">
        <f t="shared" si="38"/>
        <v>1900</v>
      </c>
    </row>
    <row r="479" spans="1:1" x14ac:dyDescent="0.3">
      <c r="A479">
        <f t="shared" si="38"/>
        <v>1900</v>
      </c>
    </row>
    <row r="480" spans="1:1" x14ac:dyDescent="0.3">
      <c r="A480">
        <f t="shared" si="38"/>
        <v>1900</v>
      </c>
    </row>
    <row r="481" spans="1:1" x14ac:dyDescent="0.3">
      <c r="A481">
        <f t="shared" si="38"/>
        <v>1900</v>
      </c>
    </row>
    <row r="482" spans="1:1" x14ac:dyDescent="0.3">
      <c r="A482">
        <f t="shared" si="38"/>
        <v>1900</v>
      </c>
    </row>
    <row r="483" spans="1:1" x14ac:dyDescent="0.3">
      <c r="A483">
        <f t="shared" si="38"/>
        <v>1900</v>
      </c>
    </row>
    <row r="484" spans="1:1" x14ac:dyDescent="0.3">
      <c r="A484">
        <f t="shared" si="38"/>
        <v>1900</v>
      </c>
    </row>
    <row r="485" spans="1:1" x14ac:dyDescent="0.3">
      <c r="A485">
        <f t="shared" si="38"/>
        <v>1900</v>
      </c>
    </row>
    <row r="486" spans="1:1" x14ac:dyDescent="0.3">
      <c r="A486">
        <f t="shared" si="38"/>
        <v>1900</v>
      </c>
    </row>
    <row r="487" spans="1:1" x14ac:dyDescent="0.3">
      <c r="A487">
        <f t="shared" si="38"/>
        <v>1900</v>
      </c>
    </row>
    <row r="488" spans="1:1" x14ac:dyDescent="0.3">
      <c r="A488">
        <f t="shared" si="38"/>
        <v>1900</v>
      </c>
    </row>
    <row r="489" spans="1:1" x14ac:dyDescent="0.3">
      <c r="A489">
        <f t="shared" si="38"/>
        <v>1900</v>
      </c>
    </row>
    <row r="490" spans="1:1" x14ac:dyDescent="0.3">
      <c r="A490">
        <f t="shared" si="38"/>
        <v>1900</v>
      </c>
    </row>
    <row r="491" spans="1:1" x14ac:dyDescent="0.3">
      <c r="A491">
        <f t="shared" si="38"/>
        <v>1900</v>
      </c>
    </row>
    <row r="492" spans="1:1" x14ac:dyDescent="0.3">
      <c r="A492">
        <f t="shared" si="38"/>
        <v>1900</v>
      </c>
    </row>
    <row r="493" spans="1:1" x14ac:dyDescent="0.3">
      <c r="A493">
        <f t="shared" si="38"/>
        <v>1900</v>
      </c>
    </row>
    <row r="494" spans="1:1" x14ac:dyDescent="0.3">
      <c r="A494">
        <f t="shared" si="38"/>
        <v>1900</v>
      </c>
    </row>
    <row r="495" spans="1:1" x14ac:dyDescent="0.3">
      <c r="A495">
        <f t="shared" si="38"/>
        <v>1900</v>
      </c>
    </row>
    <row r="496" spans="1:1" x14ac:dyDescent="0.3">
      <c r="A496">
        <f t="shared" si="38"/>
        <v>1900</v>
      </c>
    </row>
    <row r="497" spans="1:1" x14ac:dyDescent="0.3">
      <c r="A497">
        <f t="shared" si="38"/>
        <v>1900</v>
      </c>
    </row>
    <row r="498" spans="1:1" x14ac:dyDescent="0.3">
      <c r="A498">
        <f t="shared" si="38"/>
        <v>1900</v>
      </c>
    </row>
    <row r="499" spans="1:1" x14ac:dyDescent="0.3">
      <c r="A499">
        <f t="shared" si="38"/>
        <v>1900</v>
      </c>
    </row>
    <row r="500" spans="1:1" x14ac:dyDescent="0.3">
      <c r="A500">
        <f t="shared" si="38"/>
        <v>1900</v>
      </c>
    </row>
    <row r="501" spans="1:1" x14ac:dyDescent="0.3">
      <c r="A501">
        <f t="shared" si="38"/>
        <v>1900</v>
      </c>
    </row>
    <row r="502" spans="1:1" x14ac:dyDescent="0.3">
      <c r="A502">
        <f t="shared" si="38"/>
        <v>1900</v>
      </c>
    </row>
    <row r="503" spans="1:1" x14ac:dyDescent="0.3">
      <c r="A503">
        <f t="shared" si="38"/>
        <v>1900</v>
      </c>
    </row>
    <row r="504" spans="1:1" x14ac:dyDescent="0.3">
      <c r="A504">
        <f t="shared" si="38"/>
        <v>1900</v>
      </c>
    </row>
    <row r="505" spans="1:1" x14ac:dyDescent="0.3">
      <c r="A505">
        <f t="shared" si="38"/>
        <v>1900</v>
      </c>
    </row>
    <row r="506" spans="1:1" x14ac:dyDescent="0.3">
      <c r="A506">
        <f t="shared" si="38"/>
        <v>1900</v>
      </c>
    </row>
    <row r="507" spans="1:1" x14ac:dyDescent="0.3">
      <c r="A507">
        <f t="shared" si="38"/>
        <v>1900</v>
      </c>
    </row>
    <row r="508" spans="1:1" x14ac:dyDescent="0.3">
      <c r="A508">
        <f t="shared" si="38"/>
        <v>1900</v>
      </c>
    </row>
    <row r="509" spans="1:1" x14ac:dyDescent="0.3">
      <c r="A509">
        <f t="shared" si="38"/>
        <v>1900</v>
      </c>
    </row>
    <row r="510" spans="1:1" x14ac:dyDescent="0.3">
      <c r="A510">
        <f t="shared" si="38"/>
        <v>1900</v>
      </c>
    </row>
    <row r="511" spans="1:1" x14ac:dyDescent="0.3">
      <c r="A511">
        <f t="shared" si="38"/>
        <v>1900</v>
      </c>
    </row>
    <row r="512" spans="1:1" x14ac:dyDescent="0.3">
      <c r="A512">
        <f t="shared" si="38"/>
        <v>1900</v>
      </c>
    </row>
    <row r="513" spans="1:1" x14ac:dyDescent="0.3">
      <c r="A513">
        <f t="shared" si="38"/>
        <v>1900</v>
      </c>
    </row>
    <row r="514" spans="1:1" x14ac:dyDescent="0.3">
      <c r="A514">
        <f t="shared" si="38"/>
        <v>1900</v>
      </c>
    </row>
    <row r="515" spans="1:1" x14ac:dyDescent="0.3">
      <c r="A515">
        <f t="shared" si="38"/>
        <v>1900</v>
      </c>
    </row>
    <row r="516" spans="1:1" x14ac:dyDescent="0.3">
      <c r="A516">
        <f t="shared" si="38"/>
        <v>1900</v>
      </c>
    </row>
    <row r="517" spans="1:1" x14ac:dyDescent="0.3">
      <c r="A517">
        <f t="shared" si="38"/>
        <v>1900</v>
      </c>
    </row>
    <row r="518" spans="1:1" x14ac:dyDescent="0.3">
      <c r="A518">
        <f t="shared" si="38"/>
        <v>1900</v>
      </c>
    </row>
    <row r="519" spans="1:1" x14ac:dyDescent="0.3">
      <c r="A519">
        <f t="shared" si="38"/>
        <v>1900</v>
      </c>
    </row>
    <row r="520" spans="1:1" x14ac:dyDescent="0.3">
      <c r="A520">
        <f t="shared" si="38"/>
        <v>1900</v>
      </c>
    </row>
    <row r="521" spans="1:1" x14ac:dyDescent="0.3">
      <c r="A521">
        <f t="shared" si="38"/>
        <v>1900</v>
      </c>
    </row>
    <row r="522" spans="1:1" x14ac:dyDescent="0.3">
      <c r="A522">
        <f t="shared" ref="A522:A571" si="39">YEAR(B522)</f>
        <v>1900</v>
      </c>
    </row>
    <row r="523" spans="1:1" x14ac:dyDescent="0.3">
      <c r="A523">
        <f t="shared" si="39"/>
        <v>1900</v>
      </c>
    </row>
    <row r="524" spans="1:1" x14ac:dyDescent="0.3">
      <c r="A524">
        <f t="shared" si="39"/>
        <v>1900</v>
      </c>
    </row>
    <row r="525" spans="1:1" x14ac:dyDescent="0.3">
      <c r="A525">
        <f t="shared" si="39"/>
        <v>1900</v>
      </c>
    </row>
    <row r="526" spans="1:1" x14ac:dyDescent="0.3">
      <c r="A526">
        <f t="shared" si="39"/>
        <v>1900</v>
      </c>
    </row>
    <row r="527" spans="1:1" x14ac:dyDescent="0.3">
      <c r="A527">
        <f t="shared" si="39"/>
        <v>1900</v>
      </c>
    </row>
    <row r="528" spans="1:1" x14ac:dyDescent="0.3">
      <c r="A528">
        <f t="shared" si="39"/>
        <v>1900</v>
      </c>
    </row>
    <row r="529" spans="1:1" x14ac:dyDescent="0.3">
      <c r="A529">
        <f t="shared" si="39"/>
        <v>1900</v>
      </c>
    </row>
    <row r="530" spans="1:1" x14ac:dyDescent="0.3">
      <c r="A530">
        <f t="shared" si="39"/>
        <v>1900</v>
      </c>
    </row>
    <row r="531" spans="1:1" x14ac:dyDescent="0.3">
      <c r="A531">
        <f t="shared" si="39"/>
        <v>1900</v>
      </c>
    </row>
    <row r="532" spans="1:1" x14ac:dyDescent="0.3">
      <c r="A532">
        <f t="shared" si="39"/>
        <v>1900</v>
      </c>
    </row>
    <row r="533" spans="1:1" x14ac:dyDescent="0.3">
      <c r="A533">
        <f t="shared" si="39"/>
        <v>1900</v>
      </c>
    </row>
    <row r="534" spans="1:1" x14ac:dyDescent="0.3">
      <c r="A534">
        <f t="shared" si="39"/>
        <v>1900</v>
      </c>
    </row>
    <row r="535" spans="1:1" x14ac:dyDescent="0.3">
      <c r="A535">
        <f t="shared" si="39"/>
        <v>1900</v>
      </c>
    </row>
    <row r="536" spans="1:1" x14ac:dyDescent="0.3">
      <c r="A536">
        <f t="shared" si="39"/>
        <v>1900</v>
      </c>
    </row>
    <row r="537" spans="1:1" x14ac:dyDescent="0.3">
      <c r="A537">
        <f t="shared" si="39"/>
        <v>1900</v>
      </c>
    </row>
    <row r="538" spans="1:1" x14ac:dyDescent="0.3">
      <c r="A538">
        <f t="shared" si="39"/>
        <v>1900</v>
      </c>
    </row>
    <row r="539" spans="1:1" x14ac:dyDescent="0.3">
      <c r="A539">
        <f t="shared" si="39"/>
        <v>1900</v>
      </c>
    </row>
    <row r="540" spans="1:1" x14ac:dyDescent="0.3">
      <c r="A540">
        <f t="shared" si="39"/>
        <v>1900</v>
      </c>
    </row>
    <row r="541" spans="1:1" x14ac:dyDescent="0.3">
      <c r="A541">
        <f t="shared" si="39"/>
        <v>1900</v>
      </c>
    </row>
    <row r="542" spans="1:1" x14ac:dyDescent="0.3">
      <c r="A542">
        <f t="shared" si="39"/>
        <v>1900</v>
      </c>
    </row>
    <row r="543" spans="1:1" x14ac:dyDescent="0.3">
      <c r="A543">
        <f t="shared" si="39"/>
        <v>1900</v>
      </c>
    </row>
    <row r="544" spans="1:1" x14ac:dyDescent="0.3">
      <c r="A544">
        <f t="shared" si="39"/>
        <v>1900</v>
      </c>
    </row>
    <row r="545" spans="1:1" x14ac:dyDescent="0.3">
      <c r="A545">
        <f t="shared" si="39"/>
        <v>1900</v>
      </c>
    </row>
    <row r="546" spans="1:1" x14ac:dyDescent="0.3">
      <c r="A546">
        <f t="shared" si="39"/>
        <v>1900</v>
      </c>
    </row>
    <row r="547" spans="1:1" x14ac:dyDescent="0.3">
      <c r="A547">
        <f t="shared" si="39"/>
        <v>1900</v>
      </c>
    </row>
    <row r="548" spans="1:1" x14ac:dyDescent="0.3">
      <c r="A548">
        <f t="shared" si="39"/>
        <v>1900</v>
      </c>
    </row>
    <row r="549" spans="1:1" x14ac:dyDescent="0.3">
      <c r="A549">
        <f t="shared" si="39"/>
        <v>1900</v>
      </c>
    </row>
    <row r="550" spans="1:1" x14ac:dyDescent="0.3">
      <c r="A550">
        <f t="shared" si="39"/>
        <v>1900</v>
      </c>
    </row>
    <row r="551" spans="1:1" x14ac:dyDescent="0.3">
      <c r="A551">
        <f t="shared" si="39"/>
        <v>1900</v>
      </c>
    </row>
    <row r="552" spans="1:1" x14ac:dyDescent="0.3">
      <c r="A552">
        <f t="shared" si="39"/>
        <v>1900</v>
      </c>
    </row>
    <row r="553" spans="1:1" x14ac:dyDescent="0.3">
      <c r="A553">
        <f t="shared" si="39"/>
        <v>1900</v>
      </c>
    </row>
    <row r="554" spans="1:1" x14ac:dyDescent="0.3">
      <c r="A554">
        <f t="shared" si="39"/>
        <v>1900</v>
      </c>
    </row>
    <row r="555" spans="1:1" x14ac:dyDescent="0.3">
      <c r="A555">
        <f t="shared" si="39"/>
        <v>1900</v>
      </c>
    </row>
    <row r="556" spans="1:1" x14ac:dyDescent="0.3">
      <c r="A556">
        <f t="shared" si="39"/>
        <v>1900</v>
      </c>
    </row>
    <row r="557" spans="1:1" x14ac:dyDescent="0.3">
      <c r="A557">
        <f t="shared" si="39"/>
        <v>1900</v>
      </c>
    </row>
    <row r="558" spans="1:1" x14ac:dyDescent="0.3">
      <c r="A558">
        <f t="shared" si="39"/>
        <v>1900</v>
      </c>
    </row>
    <row r="559" spans="1:1" x14ac:dyDescent="0.3">
      <c r="A559">
        <f t="shared" si="39"/>
        <v>1900</v>
      </c>
    </row>
    <row r="560" spans="1:1" x14ac:dyDescent="0.3">
      <c r="A560">
        <f t="shared" si="39"/>
        <v>1900</v>
      </c>
    </row>
    <row r="561" spans="1:1" x14ac:dyDescent="0.3">
      <c r="A561">
        <f t="shared" si="39"/>
        <v>1900</v>
      </c>
    </row>
    <row r="562" spans="1:1" x14ac:dyDescent="0.3">
      <c r="A562">
        <f t="shared" si="39"/>
        <v>1900</v>
      </c>
    </row>
    <row r="563" spans="1:1" x14ac:dyDescent="0.3">
      <c r="A563">
        <f t="shared" si="39"/>
        <v>1900</v>
      </c>
    </row>
    <row r="564" spans="1:1" x14ac:dyDescent="0.3">
      <c r="A564">
        <f t="shared" si="39"/>
        <v>1900</v>
      </c>
    </row>
    <row r="565" spans="1:1" x14ac:dyDescent="0.3">
      <c r="A565">
        <f t="shared" si="39"/>
        <v>1900</v>
      </c>
    </row>
    <row r="566" spans="1:1" x14ac:dyDescent="0.3">
      <c r="A566">
        <f t="shared" si="39"/>
        <v>1900</v>
      </c>
    </row>
    <row r="567" spans="1:1" x14ac:dyDescent="0.3">
      <c r="A567">
        <f t="shared" si="39"/>
        <v>1900</v>
      </c>
    </row>
    <row r="568" spans="1:1" x14ac:dyDescent="0.3">
      <c r="A568">
        <f t="shared" si="39"/>
        <v>1900</v>
      </c>
    </row>
    <row r="569" spans="1:1" x14ac:dyDescent="0.3">
      <c r="A569">
        <f t="shared" si="39"/>
        <v>1900</v>
      </c>
    </row>
    <row r="570" spans="1:1" x14ac:dyDescent="0.3">
      <c r="A570">
        <f t="shared" si="39"/>
        <v>1900</v>
      </c>
    </row>
    <row r="571" spans="1:1" x14ac:dyDescent="0.3">
      <c r="A571">
        <f t="shared" si="39"/>
        <v>1900</v>
      </c>
    </row>
  </sheetData>
  <mergeCells count="3">
    <mergeCell ref="B6:K6"/>
    <mergeCell ref="M6:U6"/>
    <mergeCell ref="X6:AG6"/>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037C0-8703-437C-ACE8-EA1504B4114E}">
  <sheetPr codeName="Sheet11"/>
  <dimension ref="A1:R398"/>
  <sheetViews>
    <sheetView showGridLines="0" topLeftCell="C1" zoomScale="85" zoomScaleNormal="85" workbookViewId="0">
      <selection activeCell="C1" sqref="C1"/>
    </sheetView>
  </sheetViews>
  <sheetFormatPr defaultColWidth="14.6640625" defaultRowHeight="10.199999999999999" x14ac:dyDescent="0.2"/>
  <cols>
    <col min="1" max="2" width="14.6640625" style="257" hidden="1" customWidth="1"/>
    <col min="3" max="3" width="11.88671875" style="257" bestFit="1" customWidth="1"/>
    <col min="4" max="4" width="16.88671875" style="257" bestFit="1" customWidth="1"/>
    <col min="5" max="5" width="17.44140625" style="257" customWidth="1"/>
    <col min="6" max="6" width="15.6640625" style="257" bestFit="1" customWidth="1"/>
    <col min="7" max="9" width="14.88671875" style="259" bestFit="1" customWidth="1"/>
    <col min="10" max="10" width="4.33203125" style="258" customWidth="1"/>
    <col min="11" max="18" width="14.6640625" style="257"/>
    <col min="19" max="19" width="30.6640625" style="257" customWidth="1"/>
    <col min="20" max="16384" width="14.6640625" style="257"/>
  </cols>
  <sheetData>
    <row r="1" spans="1:18" ht="15" customHeight="1" x14ac:dyDescent="0.2">
      <c r="G1" s="258"/>
      <c r="I1" s="258"/>
    </row>
    <row r="2" spans="1:18" ht="15" customHeight="1" x14ac:dyDescent="0.2">
      <c r="G2" s="258"/>
      <c r="I2" s="258"/>
      <c r="R2" s="260"/>
    </row>
    <row r="3" spans="1:18" ht="15" customHeight="1" x14ac:dyDescent="0.2">
      <c r="G3" s="258"/>
      <c r="I3" s="258"/>
      <c r="R3" s="260"/>
    </row>
    <row r="4" spans="1:18" ht="15" customHeight="1" x14ac:dyDescent="0.2">
      <c r="G4" s="258"/>
      <c r="I4" s="258"/>
      <c r="R4" s="260"/>
    </row>
    <row r="5" spans="1:18" ht="15" customHeight="1" x14ac:dyDescent="0.2">
      <c r="G5" s="258"/>
      <c r="I5" s="258"/>
      <c r="R5" s="260"/>
    </row>
    <row r="6" spans="1:18" ht="15" thickBot="1" x14ac:dyDescent="0.35">
      <c r="C6" s="648" t="s">
        <v>15</v>
      </c>
      <c r="D6" s="648"/>
      <c r="E6" s="648"/>
      <c r="F6" s="648"/>
      <c r="G6" s="258" t="s">
        <v>117</v>
      </c>
      <c r="H6" s="259" t="s">
        <v>123</v>
      </c>
      <c r="I6" s="258" t="s">
        <v>124</v>
      </c>
      <c r="R6" s="260"/>
    </row>
    <row r="7" spans="1:18" ht="52.5" customHeight="1" x14ac:dyDescent="0.3">
      <c r="A7" s="261"/>
      <c r="B7" s="261"/>
      <c r="C7" s="210" t="s">
        <v>112</v>
      </c>
      <c r="D7" s="174" t="s">
        <v>125</v>
      </c>
      <c r="E7" s="174" t="s">
        <v>126</v>
      </c>
      <c r="F7" s="176" t="s">
        <v>127</v>
      </c>
      <c r="G7" s="262"/>
      <c r="H7" s="262"/>
      <c r="I7" s="262"/>
      <c r="R7" s="260"/>
    </row>
    <row r="8" spans="1:18" ht="14.4" x14ac:dyDescent="0.3">
      <c r="A8" s="263">
        <f t="shared" ref="A8:A71" si="0">YEAR(C8)</f>
        <v>2003</v>
      </c>
      <c r="B8" s="264" t="str">
        <f t="shared" ref="B8:B71" si="1">IF(MONTH(C8)&lt;4,"1",IF(MONTH(C8)&lt;7,"2",IF(MONTH(C8)&lt;10,"3","4")))</f>
        <v>3</v>
      </c>
      <c r="C8" s="179">
        <v>37865</v>
      </c>
      <c r="D8" s="265">
        <v>646</v>
      </c>
      <c r="E8" s="266">
        <v>758</v>
      </c>
      <c r="F8" s="267">
        <v>1404</v>
      </c>
      <c r="G8" s="268"/>
      <c r="H8" s="268"/>
      <c r="I8" s="268"/>
      <c r="R8" s="260"/>
    </row>
    <row r="9" spans="1:18" ht="14.4" x14ac:dyDescent="0.3">
      <c r="A9" s="263">
        <f t="shared" si="0"/>
        <v>2003</v>
      </c>
      <c r="B9" s="264" t="str">
        <f t="shared" si="1"/>
        <v>4</v>
      </c>
      <c r="C9" s="179">
        <v>37956</v>
      </c>
      <c r="D9" s="269">
        <v>636</v>
      </c>
      <c r="E9" s="270">
        <v>690</v>
      </c>
      <c r="F9" s="271">
        <v>1326</v>
      </c>
      <c r="G9" s="268"/>
      <c r="H9" s="268"/>
      <c r="I9" s="268"/>
      <c r="R9" s="260"/>
    </row>
    <row r="10" spans="1:18" ht="14.4" x14ac:dyDescent="0.3">
      <c r="A10" s="263">
        <f t="shared" si="0"/>
        <v>2004</v>
      </c>
      <c r="B10" s="264" t="str">
        <f t="shared" si="1"/>
        <v>1</v>
      </c>
      <c r="C10" s="179">
        <v>38047</v>
      </c>
      <c r="D10" s="265">
        <v>508</v>
      </c>
      <c r="E10" s="266">
        <v>596</v>
      </c>
      <c r="F10" s="267">
        <v>1104</v>
      </c>
      <c r="G10" s="268"/>
      <c r="H10" s="268"/>
      <c r="I10" s="268"/>
      <c r="R10" s="272"/>
    </row>
    <row r="11" spans="1:18" ht="14.4" x14ac:dyDescent="0.3">
      <c r="A11" s="263">
        <f t="shared" si="0"/>
        <v>2004</v>
      </c>
      <c r="B11" s="264" t="str">
        <f t="shared" si="1"/>
        <v>2</v>
      </c>
      <c r="C11" s="179">
        <v>38139</v>
      </c>
      <c r="D11" s="269">
        <v>891</v>
      </c>
      <c r="E11" s="270">
        <v>956.6</v>
      </c>
      <c r="F11" s="271">
        <v>1847.1</v>
      </c>
      <c r="G11" s="268"/>
      <c r="H11" s="268"/>
      <c r="I11" s="268"/>
      <c r="R11" s="272" t="s">
        <v>128</v>
      </c>
    </row>
    <row r="12" spans="1:18" ht="14.4" x14ac:dyDescent="0.3">
      <c r="A12" s="263">
        <f t="shared" si="0"/>
        <v>2004</v>
      </c>
      <c r="B12" s="264" t="str">
        <f t="shared" si="1"/>
        <v>3</v>
      </c>
      <c r="C12" s="179">
        <v>38231</v>
      </c>
      <c r="D12" s="265">
        <v>897.7</v>
      </c>
      <c r="E12" s="266">
        <v>1023.9</v>
      </c>
      <c r="F12" s="267">
        <v>1921.6</v>
      </c>
      <c r="G12" s="268"/>
      <c r="H12" s="268"/>
      <c r="I12" s="268"/>
      <c r="R12" s="272" t="s">
        <v>129</v>
      </c>
    </row>
    <row r="13" spans="1:18" ht="14.4" x14ac:dyDescent="0.3">
      <c r="A13" s="263">
        <f t="shared" si="0"/>
        <v>2004</v>
      </c>
      <c r="B13" s="264" t="str">
        <f t="shared" si="1"/>
        <v>4</v>
      </c>
      <c r="C13" s="179">
        <v>38322</v>
      </c>
      <c r="D13" s="269">
        <v>602.79999999999995</v>
      </c>
      <c r="E13" s="270">
        <v>1045.5999999999999</v>
      </c>
      <c r="F13" s="271">
        <v>1648.5</v>
      </c>
      <c r="G13" s="268"/>
      <c r="H13" s="268"/>
      <c r="I13" s="268"/>
      <c r="R13" s="260"/>
    </row>
    <row r="14" spans="1:18" ht="14.4" x14ac:dyDescent="0.3">
      <c r="A14" s="263">
        <f t="shared" si="0"/>
        <v>2005</v>
      </c>
      <c r="B14" s="264" t="str">
        <f t="shared" si="1"/>
        <v>1</v>
      </c>
      <c r="C14" s="179">
        <v>38412</v>
      </c>
      <c r="D14" s="265">
        <v>532.79999999999995</v>
      </c>
      <c r="E14" s="266">
        <v>898.7</v>
      </c>
      <c r="F14" s="267">
        <v>1431.4</v>
      </c>
      <c r="G14" s="268"/>
      <c r="H14" s="268"/>
      <c r="I14" s="268"/>
      <c r="R14" s="260"/>
    </row>
    <row r="15" spans="1:18" ht="14.4" x14ac:dyDescent="0.3">
      <c r="A15" s="263">
        <f t="shared" si="0"/>
        <v>2005</v>
      </c>
      <c r="B15" s="264" t="str">
        <f t="shared" si="1"/>
        <v>2</v>
      </c>
      <c r="C15" s="179">
        <v>38504</v>
      </c>
      <c r="D15" s="269">
        <v>750.1</v>
      </c>
      <c r="E15" s="270">
        <v>1032.8</v>
      </c>
      <c r="F15" s="271">
        <v>1782.9</v>
      </c>
      <c r="G15" s="268"/>
      <c r="H15" s="268"/>
      <c r="I15" s="268"/>
      <c r="R15" s="260"/>
    </row>
    <row r="16" spans="1:18" ht="14.4" x14ac:dyDescent="0.3">
      <c r="A16" s="263">
        <f t="shared" si="0"/>
        <v>2005</v>
      </c>
      <c r="B16" s="264" t="str">
        <f t="shared" si="1"/>
        <v>3</v>
      </c>
      <c r="C16" s="179">
        <v>38596</v>
      </c>
      <c r="D16" s="265">
        <v>735.1</v>
      </c>
      <c r="E16" s="266">
        <v>1099.9000000000001</v>
      </c>
      <c r="F16" s="267">
        <v>1835</v>
      </c>
      <c r="G16" s="268"/>
      <c r="H16" s="268"/>
      <c r="I16" s="268"/>
      <c r="R16" s="260"/>
    </row>
    <row r="17" spans="1:18" ht="14.4" x14ac:dyDescent="0.3">
      <c r="A17" s="263">
        <f t="shared" si="0"/>
        <v>2005</v>
      </c>
      <c r="B17" s="264" t="str">
        <f t="shared" si="1"/>
        <v>4</v>
      </c>
      <c r="C17" s="179">
        <v>38687</v>
      </c>
      <c r="D17" s="269">
        <v>581.79999999999995</v>
      </c>
      <c r="E17" s="270">
        <v>1036.7</v>
      </c>
      <c r="F17" s="271">
        <v>1618.6</v>
      </c>
      <c r="G17" s="268"/>
      <c r="H17" s="268"/>
      <c r="I17" s="268"/>
      <c r="R17" s="260"/>
    </row>
    <row r="18" spans="1:18" ht="14.4" x14ac:dyDescent="0.3">
      <c r="A18" s="263">
        <f t="shared" si="0"/>
        <v>2006</v>
      </c>
      <c r="B18" s="264" t="str">
        <f t="shared" si="1"/>
        <v>1</v>
      </c>
      <c r="C18" s="179">
        <v>38777</v>
      </c>
      <c r="D18" s="265">
        <v>522.79999999999995</v>
      </c>
      <c r="E18" s="266">
        <v>944.4</v>
      </c>
      <c r="F18" s="267">
        <v>1467.1</v>
      </c>
      <c r="G18" s="268"/>
      <c r="H18" s="268"/>
      <c r="I18" s="268"/>
      <c r="R18" s="260"/>
    </row>
    <row r="19" spans="1:18" ht="14.4" x14ac:dyDescent="0.3">
      <c r="A19" s="263">
        <f t="shared" si="0"/>
        <v>2006</v>
      </c>
      <c r="B19" s="264" t="str">
        <f t="shared" si="1"/>
        <v>2</v>
      </c>
      <c r="C19" s="179">
        <v>38869</v>
      </c>
      <c r="D19" s="269">
        <v>778</v>
      </c>
      <c r="E19" s="270">
        <v>1138.0999999999999</v>
      </c>
      <c r="F19" s="271">
        <v>1916.1</v>
      </c>
      <c r="G19" s="268"/>
      <c r="H19" s="268"/>
      <c r="I19" s="268"/>
      <c r="R19" s="260"/>
    </row>
    <row r="20" spans="1:18" ht="14.4" x14ac:dyDescent="0.3">
      <c r="A20" s="263">
        <f t="shared" si="0"/>
        <v>2006</v>
      </c>
      <c r="B20" s="264" t="str">
        <f t="shared" si="1"/>
        <v>3</v>
      </c>
      <c r="C20" s="179">
        <v>38961</v>
      </c>
      <c r="D20" s="265">
        <v>812.4</v>
      </c>
      <c r="E20" s="266">
        <v>1438.6</v>
      </c>
      <c r="F20" s="267">
        <v>2251</v>
      </c>
      <c r="G20" s="268"/>
      <c r="H20" s="268"/>
      <c r="I20" s="268"/>
      <c r="R20" s="260"/>
    </row>
    <row r="21" spans="1:18" ht="14.4" x14ac:dyDescent="0.3">
      <c r="A21" s="263">
        <f t="shared" si="0"/>
        <v>2006</v>
      </c>
      <c r="B21" s="264" t="str">
        <f t="shared" si="1"/>
        <v>4</v>
      </c>
      <c r="C21" s="179">
        <v>39052</v>
      </c>
      <c r="D21" s="269">
        <v>900.4</v>
      </c>
      <c r="E21" s="270">
        <v>1199.3</v>
      </c>
      <c r="F21" s="271">
        <v>2099.6999999999998</v>
      </c>
      <c r="G21" s="268"/>
      <c r="H21" s="268"/>
      <c r="I21" s="268"/>
      <c r="R21" s="260"/>
    </row>
    <row r="22" spans="1:18" ht="14.4" x14ac:dyDescent="0.3">
      <c r="A22" s="263">
        <f t="shared" si="0"/>
        <v>2007</v>
      </c>
      <c r="B22" s="264" t="str">
        <f t="shared" si="1"/>
        <v>1</v>
      </c>
      <c r="C22" s="179">
        <v>39142</v>
      </c>
      <c r="D22" s="265">
        <v>713.2</v>
      </c>
      <c r="E22" s="266">
        <v>1071</v>
      </c>
      <c r="F22" s="267">
        <v>1784.2</v>
      </c>
      <c r="G22" s="268"/>
      <c r="H22" s="268"/>
      <c r="I22" s="268"/>
      <c r="R22" s="260"/>
    </row>
    <row r="23" spans="1:18" ht="14.4" x14ac:dyDescent="0.3">
      <c r="A23" s="263">
        <f t="shared" si="0"/>
        <v>2007</v>
      </c>
      <c r="B23" s="264" t="str">
        <f t="shared" si="1"/>
        <v>2</v>
      </c>
      <c r="C23" s="179">
        <v>39234</v>
      </c>
      <c r="D23" s="269">
        <v>814.1</v>
      </c>
      <c r="E23" s="270">
        <v>1505.6</v>
      </c>
      <c r="F23" s="271">
        <v>2319.6999999999998</v>
      </c>
      <c r="G23" s="268"/>
      <c r="H23" s="268"/>
      <c r="I23" s="268"/>
      <c r="R23" s="260"/>
    </row>
    <row r="24" spans="1:18" ht="14.4" x14ac:dyDescent="0.3">
      <c r="A24" s="263">
        <f t="shared" si="0"/>
        <v>2007</v>
      </c>
      <c r="B24" s="264" t="str">
        <f t="shared" si="1"/>
        <v>3</v>
      </c>
      <c r="C24" s="179">
        <v>39326</v>
      </c>
      <c r="D24" s="265">
        <v>1055.8</v>
      </c>
      <c r="E24" s="266">
        <v>1500.8</v>
      </c>
      <c r="F24" s="267">
        <v>2556.6999999999998</v>
      </c>
      <c r="G24" s="268"/>
      <c r="H24" s="268"/>
      <c r="I24" s="268"/>
      <c r="R24" s="260"/>
    </row>
    <row r="25" spans="1:18" ht="14.4" x14ac:dyDescent="0.3">
      <c r="A25" s="263">
        <f t="shared" si="0"/>
        <v>2007</v>
      </c>
      <c r="B25" s="264" t="str">
        <f t="shared" si="1"/>
        <v>4</v>
      </c>
      <c r="C25" s="179">
        <v>39417</v>
      </c>
      <c r="D25" s="269">
        <v>970.1</v>
      </c>
      <c r="E25" s="270">
        <v>1476</v>
      </c>
      <c r="F25" s="271">
        <v>2446.1</v>
      </c>
      <c r="G25" s="268"/>
      <c r="H25" s="268"/>
      <c r="I25" s="268"/>
      <c r="R25" s="260"/>
    </row>
    <row r="26" spans="1:18" ht="14.4" x14ac:dyDescent="0.3">
      <c r="A26" s="263">
        <f t="shared" si="0"/>
        <v>2008</v>
      </c>
      <c r="B26" s="264" t="str">
        <f t="shared" si="1"/>
        <v>1</v>
      </c>
      <c r="C26" s="179">
        <v>39508</v>
      </c>
      <c r="D26" s="265">
        <v>737.1</v>
      </c>
      <c r="E26" s="266">
        <v>1275.4000000000001</v>
      </c>
      <c r="F26" s="267">
        <v>2012.5</v>
      </c>
      <c r="G26" s="268"/>
      <c r="H26" s="268"/>
      <c r="I26" s="268"/>
      <c r="R26" s="260"/>
    </row>
    <row r="27" spans="1:18" ht="14.4" x14ac:dyDescent="0.3">
      <c r="A27" s="263">
        <f t="shared" si="0"/>
        <v>2008</v>
      </c>
      <c r="B27" s="264" t="str">
        <f t="shared" si="1"/>
        <v>2</v>
      </c>
      <c r="C27" s="179">
        <v>39600</v>
      </c>
      <c r="D27" s="269">
        <v>1157</v>
      </c>
      <c r="E27" s="270">
        <v>1583.2</v>
      </c>
      <c r="F27" s="271">
        <v>2740.3</v>
      </c>
      <c r="G27" s="268"/>
      <c r="H27" s="268"/>
      <c r="I27" s="268"/>
      <c r="R27" s="260"/>
    </row>
    <row r="28" spans="1:18" ht="14.4" x14ac:dyDescent="0.3">
      <c r="A28" s="263">
        <f t="shared" si="0"/>
        <v>2008</v>
      </c>
      <c r="B28" s="264" t="str">
        <f t="shared" si="1"/>
        <v>3</v>
      </c>
      <c r="C28" s="179">
        <v>39692</v>
      </c>
      <c r="D28" s="265">
        <v>1068.9000000000001</v>
      </c>
      <c r="E28" s="266">
        <v>1636</v>
      </c>
      <c r="F28" s="267">
        <v>2704.8</v>
      </c>
      <c r="G28" s="268"/>
      <c r="H28" s="268"/>
      <c r="I28" s="268"/>
    </row>
    <row r="29" spans="1:18" ht="14.4" x14ac:dyDescent="0.3">
      <c r="A29" s="263">
        <f t="shared" si="0"/>
        <v>2008</v>
      </c>
      <c r="B29" s="264" t="str">
        <f t="shared" si="1"/>
        <v>4</v>
      </c>
      <c r="C29" s="179">
        <v>39783</v>
      </c>
      <c r="D29" s="269">
        <v>792.1</v>
      </c>
      <c r="E29" s="270">
        <v>1444.4</v>
      </c>
      <c r="F29" s="271">
        <v>2236.5</v>
      </c>
      <c r="G29" s="268"/>
      <c r="H29" s="268"/>
      <c r="I29" s="268"/>
    </row>
    <row r="30" spans="1:18" ht="14.4" x14ac:dyDescent="0.3">
      <c r="A30" s="263">
        <f t="shared" si="0"/>
        <v>2009</v>
      </c>
      <c r="B30" s="264" t="str">
        <f t="shared" si="1"/>
        <v>1</v>
      </c>
      <c r="C30" s="179">
        <v>39873</v>
      </c>
      <c r="D30" s="265">
        <v>338.2</v>
      </c>
      <c r="E30" s="266">
        <v>888.3</v>
      </c>
      <c r="F30" s="267">
        <v>1226.5</v>
      </c>
      <c r="G30" s="268"/>
      <c r="H30" s="268"/>
      <c r="I30" s="268"/>
    </row>
    <row r="31" spans="1:18" ht="14.4" x14ac:dyDescent="0.3">
      <c r="A31" s="263">
        <f t="shared" si="0"/>
        <v>2009</v>
      </c>
      <c r="B31" s="264" t="str">
        <f t="shared" si="1"/>
        <v>2</v>
      </c>
      <c r="C31" s="179">
        <v>39965</v>
      </c>
      <c r="D31" s="269">
        <v>521.20000000000005</v>
      </c>
      <c r="E31" s="270">
        <v>1198.7</v>
      </c>
      <c r="F31" s="271">
        <v>1719.9</v>
      </c>
      <c r="G31" s="268"/>
      <c r="H31" s="268"/>
      <c r="I31" s="268"/>
    </row>
    <row r="32" spans="1:18" ht="14.4" x14ac:dyDescent="0.3">
      <c r="A32" s="263">
        <f t="shared" si="0"/>
        <v>2009</v>
      </c>
      <c r="B32" s="264" t="str">
        <f t="shared" si="1"/>
        <v>3</v>
      </c>
      <c r="C32" s="179">
        <v>40057</v>
      </c>
      <c r="D32" s="265">
        <v>719</v>
      </c>
      <c r="E32" s="266">
        <v>1422</v>
      </c>
      <c r="F32" s="267">
        <v>2141</v>
      </c>
      <c r="G32" s="268"/>
      <c r="H32" s="268"/>
      <c r="I32" s="268"/>
    </row>
    <row r="33" spans="1:15" ht="14.4" x14ac:dyDescent="0.3">
      <c r="A33" s="263">
        <f t="shared" si="0"/>
        <v>2009</v>
      </c>
      <c r="B33" s="264" t="str">
        <f t="shared" si="1"/>
        <v>4</v>
      </c>
      <c r="C33" s="179">
        <v>40148</v>
      </c>
      <c r="D33" s="269">
        <v>857.6</v>
      </c>
      <c r="E33" s="270">
        <v>1436.6</v>
      </c>
      <c r="F33" s="271">
        <v>2294.1</v>
      </c>
      <c r="G33" s="268"/>
      <c r="H33" s="268"/>
      <c r="I33" s="268"/>
    </row>
    <row r="34" spans="1:15" ht="14.4" x14ac:dyDescent="0.3">
      <c r="A34" s="263">
        <f t="shared" si="0"/>
        <v>2010</v>
      </c>
      <c r="B34" s="264" t="str">
        <f t="shared" si="1"/>
        <v>1</v>
      </c>
      <c r="C34" s="179">
        <v>40238</v>
      </c>
      <c r="D34" s="265">
        <v>547.5</v>
      </c>
      <c r="E34" s="266">
        <v>995.8</v>
      </c>
      <c r="F34" s="267">
        <v>1543.3</v>
      </c>
      <c r="G34" s="268"/>
      <c r="H34" s="268"/>
      <c r="I34" s="268"/>
    </row>
    <row r="35" spans="1:15" ht="14.4" x14ac:dyDescent="0.3">
      <c r="A35" s="263">
        <f t="shared" si="0"/>
        <v>2010</v>
      </c>
      <c r="B35" s="264" t="str">
        <f t="shared" si="1"/>
        <v>2</v>
      </c>
      <c r="C35" s="179">
        <v>40330</v>
      </c>
      <c r="D35" s="269">
        <v>930.4</v>
      </c>
      <c r="E35" s="270">
        <v>1390.1</v>
      </c>
      <c r="F35" s="271">
        <v>2320.5</v>
      </c>
      <c r="G35" s="268"/>
      <c r="H35" s="268"/>
      <c r="I35" s="268"/>
    </row>
    <row r="36" spans="1:15" ht="14.4" x14ac:dyDescent="0.3">
      <c r="A36" s="263">
        <f t="shared" si="0"/>
        <v>2010</v>
      </c>
      <c r="B36" s="264" t="str">
        <f t="shared" si="1"/>
        <v>3</v>
      </c>
      <c r="C36" s="179">
        <v>40422</v>
      </c>
      <c r="D36" s="265">
        <v>907.4</v>
      </c>
      <c r="E36" s="266">
        <v>1555.8</v>
      </c>
      <c r="F36" s="267">
        <v>2463.1999999999998</v>
      </c>
      <c r="G36" s="268"/>
      <c r="H36" s="268"/>
      <c r="I36" s="268"/>
    </row>
    <row r="37" spans="1:15" ht="14.4" x14ac:dyDescent="0.3">
      <c r="A37" s="263">
        <f t="shared" si="0"/>
        <v>2010</v>
      </c>
      <c r="B37" s="264" t="str">
        <f t="shared" si="1"/>
        <v>4</v>
      </c>
      <c r="C37" s="179">
        <v>40513</v>
      </c>
      <c r="D37" s="269">
        <v>932.7</v>
      </c>
      <c r="E37" s="270">
        <v>1449.3</v>
      </c>
      <c r="F37" s="271">
        <v>2382</v>
      </c>
      <c r="G37" s="268"/>
      <c r="H37" s="268"/>
      <c r="I37" s="268"/>
      <c r="M37" s="649"/>
      <c r="N37" s="649"/>
      <c r="O37" s="649"/>
    </row>
    <row r="38" spans="1:15" ht="14.4" x14ac:dyDescent="0.3">
      <c r="A38" s="263">
        <f t="shared" si="0"/>
        <v>2011</v>
      </c>
      <c r="B38" s="264" t="str">
        <f t="shared" si="1"/>
        <v>1</v>
      </c>
      <c r="C38" s="179">
        <v>40603</v>
      </c>
      <c r="D38" s="265">
        <v>617.20000000000005</v>
      </c>
      <c r="E38" s="266">
        <v>1361.7</v>
      </c>
      <c r="F38" s="267">
        <v>1978.9</v>
      </c>
      <c r="G38" s="268"/>
      <c r="H38" s="268"/>
      <c r="I38" s="268"/>
    </row>
    <row r="39" spans="1:15" ht="14.4" x14ac:dyDescent="0.3">
      <c r="A39" s="263">
        <f t="shared" si="0"/>
        <v>2011</v>
      </c>
      <c r="B39" s="264" t="str">
        <f t="shared" si="1"/>
        <v>2</v>
      </c>
      <c r="C39" s="179">
        <v>40695</v>
      </c>
      <c r="D39" s="269">
        <v>979</v>
      </c>
      <c r="E39" s="270">
        <v>1896.3</v>
      </c>
      <c r="F39" s="271">
        <v>2875.2</v>
      </c>
      <c r="G39" s="268"/>
      <c r="H39" s="268"/>
      <c r="I39" s="268"/>
    </row>
    <row r="40" spans="1:15" ht="14.4" x14ac:dyDescent="0.3">
      <c r="A40" s="263">
        <f t="shared" si="0"/>
        <v>2011</v>
      </c>
      <c r="B40" s="264" t="str">
        <f t="shared" si="1"/>
        <v>3</v>
      </c>
      <c r="C40" s="179">
        <v>40787</v>
      </c>
      <c r="D40" s="265">
        <v>1037.7</v>
      </c>
      <c r="E40" s="266">
        <v>2120.3000000000002</v>
      </c>
      <c r="F40" s="267">
        <v>3157.9</v>
      </c>
      <c r="G40" s="268"/>
      <c r="H40" s="268"/>
      <c r="I40" s="268"/>
    </row>
    <row r="41" spans="1:15" ht="14.4" x14ac:dyDescent="0.3">
      <c r="A41" s="263">
        <f t="shared" si="0"/>
        <v>2011</v>
      </c>
      <c r="B41" s="264" t="str">
        <f t="shared" si="1"/>
        <v>4</v>
      </c>
      <c r="C41" s="179">
        <v>40878</v>
      </c>
      <c r="D41" s="269">
        <v>1008.4</v>
      </c>
      <c r="E41" s="270">
        <v>1947.2</v>
      </c>
      <c r="F41" s="271">
        <v>2955.6</v>
      </c>
      <c r="G41" s="268"/>
      <c r="H41" s="268"/>
      <c r="I41" s="268"/>
    </row>
    <row r="42" spans="1:15" ht="14.4" x14ac:dyDescent="0.3">
      <c r="A42" s="263">
        <f t="shared" si="0"/>
        <v>2012</v>
      </c>
      <c r="B42" s="264" t="str">
        <f t="shared" si="1"/>
        <v>1</v>
      </c>
      <c r="C42" s="179">
        <v>40969</v>
      </c>
      <c r="D42" s="265">
        <v>582.79999999999995</v>
      </c>
      <c r="E42" s="266">
        <v>1688.8</v>
      </c>
      <c r="F42" s="267">
        <v>2271.6</v>
      </c>
      <c r="G42" s="268"/>
      <c r="H42" s="268"/>
      <c r="I42" s="268"/>
    </row>
    <row r="43" spans="1:15" ht="14.4" x14ac:dyDescent="0.3">
      <c r="A43" s="263">
        <f t="shared" si="0"/>
        <v>2012</v>
      </c>
      <c r="B43" s="264" t="str">
        <f t="shared" si="1"/>
        <v>2</v>
      </c>
      <c r="C43" s="179">
        <v>41061</v>
      </c>
      <c r="D43" s="269">
        <v>1071.2</v>
      </c>
      <c r="E43" s="270">
        <v>1952.4</v>
      </c>
      <c r="F43" s="271">
        <v>3023.5</v>
      </c>
      <c r="G43" s="268"/>
      <c r="H43" s="268"/>
      <c r="I43" s="268"/>
    </row>
    <row r="44" spans="1:15" ht="14.4" x14ac:dyDescent="0.3">
      <c r="A44" s="263">
        <f t="shared" si="0"/>
        <v>2012</v>
      </c>
      <c r="B44" s="264" t="str">
        <f t="shared" si="1"/>
        <v>3</v>
      </c>
      <c r="C44" s="179">
        <v>41153</v>
      </c>
      <c r="D44" s="265">
        <v>943.1</v>
      </c>
      <c r="E44" s="266">
        <v>1771.1</v>
      </c>
      <c r="F44" s="267">
        <v>2714.2</v>
      </c>
      <c r="G44" s="268"/>
      <c r="H44" s="268"/>
      <c r="I44" s="268"/>
    </row>
    <row r="45" spans="1:15" ht="14.4" x14ac:dyDescent="0.3">
      <c r="A45" s="263">
        <f t="shared" si="0"/>
        <v>2012</v>
      </c>
      <c r="B45" s="264" t="str">
        <f t="shared" si="1"/>
        <v>4</v>
      </c>
      <c r="C45" s="179">
        <v>41244</v>
      </c>
      <c r="D45" s="269">
        <v>677.4</v>
      </c>
      <c r="E45" s="270">
        <v>1501.6</v>
      </c>
      <c r="F45" s="271">
        <v>2179</v>
      </c>
      <c r="G45" s="268"/>
      <c r="H45" s="268"/>
      <c r="I45" s="268"/>
    </row>
    <row r="46" spans="1:15" ht="14.4" x14ac:dyDescent="0.3">
      <c r="A46" s="263">
        <f t="shared" si="0"/>
        <v>2013</v>
      </c>
      <c r="B46" s="264" t="str">
        <f t="shared" si="1"/>
        <v>1</v>
      </c>
      <c r="C46" s="179">
        <v>41334</v>
      </c>
      <c r="D46" s="265">
        <v>416.7</v>
      </c>
      <c r="E46" s="266">
        <v>1117.5999999999999</v>
      </c>
      <c r="F46" s="267">
        <v>1534.3</v>
      </c>
      <c r="G46" s="268"/>
      <c r="H46" s="268"/>
      <c r="I46" s="268"/>
    </row>
    <row r="47" spans="1:15" ht="14.4" x14ac:dyDescent="0.3">
      <c r="A47" s="263">
        <f t="shared" si="0"/>
        <v>2013</v>
      </c>
      <c r="B47" s="264" t="str">
        <f t="shared" si="1"/>
        <v>2</v>
      </c>
      <c r="C47" s="179">
        <v>41426</v>
      </c>
      <c r="D47" s="269">
        <v>692.5</v>
      </c>
      <c r="E47" s="270">
        <v>1300</v>
      </c>
      <c r="F47" s="271">
        <v>1992.5</v>
      </c>
      <c r="G47" s="268"/>
      <c r="H47" s="268"/>
      <c r="I47" s="268"/>
      <c r="M47" s="272" t="s">
        <v>130</v>
      </c>
      <c r="N47" s="272"/>
    </row>
    <row r="48" spans="1:15" ht="14.4" x14ac:dyDescent="0.3">
      <c r="A48" s="263">
        <f t="shared" si="0"/>
        <v>2013</v>
      </c>
      <c r="B48" s="264" t="str">
        <f t="shared" si="1"/>
        <v>3</v>
      </c>
      <c r="C48" s="179">
        <v>41518</v>
      </c>
      <c r="D48" s="265">
        <v>592.70000000000005</v>
      </c>
      <c r="E48" s="266">
        <v>1253.5999999999999</v>
      </c>
      <c r="F48" s="267">
        <v>1846.3</v>
      </c>
      <c r="G48" s="268"/>
      <c r="H48" s="268"/>
      <c r="I48" s="268"/>
      <c r="M48" s="272" t="s">
        <v>131</v>
      </c>
      <c r="N48" s="272"/>
    </row>
    <row r="49" spans="1:14" ht="14.4" x14ac:dyDescent="0.3">
      <c r="A49" s="263">
        <f t="shared" si="0"/>
        <v>2013</v>
      </c>
      <c r="B49" s="264" t="str">
        <f t="shared" si="1"/>
        <v>4</v>
      </c>
      <c r="C49" s="179">
        <v>41609</v>
      </c>
      <c r="D49" s="269">
        <v>396.1</v>
      </c>
      <c r="E49" s="270">
        <v>1368.1</v>
      </c>
      <c r="F49" s="271">
        <v>1764.1</v>
      </c>
      <c r="G49" s="268"/>
      <c r="H49" s="268"/>
      <c r="I49" s="268"/>
      <c r="M49" s="272" t="s">
        <v>132</v>
      </c>
      <c r="N49" s="272"/>
    </row>
    <row r="50" spans="1:14" ht="14.4" x14ac:dyDescent="0.3">
      <c r="A50" s="263">
        <f t="shared" si="0"/>
        <v>2014</v>
      </c>
      <c r="B50" s="264" t="str">
        <f t="shared" si="1"/>
        <v>1</v>
      </c>
      <c r="C50" s="179">
        <v>41699</v>
      </c>
      <c r="D50" s="265">
        <v>300</v>
      </c>
      <c r="E50" s="266">
        <v>848.1</v>
      </c>
      <c r="F50" s="267">
        <v>1148.0999999999999</v>
      </c>
      <c r="G50" s="268"/>
      <c r="H50" s="268"/>
      <c r="I50" s="268"/>
    </row>
    <row r="51" spans="1:14" ht="14.4" x14ac:dyDescent="0.3">
      <c r="A51" s="263">
        <f t="shared" si="0"/>
        <v>2014</v>
      </c>
      <c r="B51" s="264" t="str">
        <f t="shared" si="1"/>
        <v>2</v>
      </c>
      <c r="C51" s="179">
        <v>41791</v>
      </c>
      <c r="D51" s="269">
        <v>308.8</v>
      </c>
      <c r="E51" s="270">
        <v>1386</v>
      </c>
      <c r="F51" s="271">
        <v>1694.8</v>
      </c>
      <c r="G51" s="268"/>
      <c r="H51" s="268"/>
      <c r="I51" s="268"/>
    </row>
    <row r="52" spans="1:14" ht="14.4" x14ac:dyDescent="0.3">
      <c r="A52" s="263">
        <f t="shared" si="0"/>
        <v>2014</v>
      </c>
      <c r="B52" s="264" t="str">
        <f t="shared" si="1"/>
        <v>3</v>
      </c>
      <c r="C52" s="179">
        <v>41883</v>
      </c>
      <c r="D52" s="265">
        <v>397.2</v>
      </c>
      <c r="E52" s="266">
        <v>1271.8</v>
      </c>
      <c r="F52" s="267">
        <v>1669</v>
      </c>
      <c r="G52" s="268"/>
      <c r="H52" s="268"/>
      <c r="I52" s="268"/>
    </row>
    <row r="53" spans="1:14" ht="14.4" x14ac:dyDescent="0.3">
      <c r="A53" s="263">
        <f t="shared" si="0"/>
        <v>2014</v>
      </c>
      <c r="B53" s="264" t="str">
        <f t="shared" si="1"/>
        <v>4</v>
      </c>
      <c r="C53" s="179">
        <v>41974</v>
      </c>
      <c r="D53" s="269">
        <v>491.9</v>
      </c>
      <c r="E53" s="270">
        <v>1121.2</v>
      </c>
      <c r="F53" s="271">
        <v>1613.1</v>
      </c>
      <c r="G53" s="268"/>
      <c r="H53" s="268"/>
      <c r="I53" s="268"/>
    </row>
    <row r="54" spans="1:14" ht="14.4" x14ac:dyDescent="0.3">
      <c r="A54" s="263">
        <f t="shared" si="0"/>
        <v>2015</v>
      </c>
      <c r="B54" s="264" t="str">
        <f t="shared" si="1"/>
        <v>1</v>
      </c>
      <c r="C54" s="179">
        <v>42064</v>
      </c>
      <c r="D54" s="265">
        <v>242.1</v>
      </c>
      <c r="E54" s="266">
        <v>898.6</v>
      </c>
      <c r="F54" s="267">
        <v>1140.7</v>
      </c>
      <c r="G54" s="268"/>
      <c r="H54" s="268"/>
      <c r="I54" s="268"/>
    </row>
    <row r="55" spans="1:14" ht="14.4" x14ac:dyDescent="0.3">
      <c r="A55" s="263">
        <f t="shared" si="0"/>
        <v>2015</v>
      </c>
      <c r="B55" s="264" t="str">
        <f t="shared" si="1"/>
        <v>2</v>
      </c>
      <c r="C55" s="179">
        <v>42156</v>
      </c>
      <c r="D55" s="269">
        <v>438.1</v>
      </c>
      <c r="E55" s="270">
        <v>1103.3</v>
      </c>
      <c r="F55" s="271">
        <v>1540.2</v>
      </c>
      <c r="G55" s="268"/>
      <c r="H55" s="268"/>
      <c r="I55" s="268"/>
    </row>
    <row r="56" spans="1:14" ht="14.4" x14ac:dyDescent="0.3">
      <c r="A56" s="263">
        <f t="shared" si="0"/>
        <v>2015</v>
      </c>
      <c r="B56" s="264" t="str">
        <f t="shared" si="1"/>
        <v>3</v>
      </c>
      <c r="C56" s="179">
        <v>42248</v>
      </c>
      <c r="D56" s="265">
        <v>341.1</v>
      </c>
      <c r="E56" s="266">
        <v>1232.7</v>
      </c>
      <c r="F56" s="267">
        <v>1573.5</v>
      </c>
      <c r="G56" s="268"/>
      <c r="H56" s="268"/>
      <c r="I56" s="268"/>
    </row>
    <row r="57" spans="1:14" ht="14.4" x14ac:dyDescent="0.3">
      <c r="A57" s="263">
        <f t="shared" si="0"/>
        <v>2015</v>
      </c>
      <c r="B57" s="264" t="str">
        <f t="shared" si="1"/>
        <v>4</v>
      </c>
      <c r="C57" s="179">
        <v>42339</v>
      </c>
      <c r="D57" s="269">
        <v>442.4</v>
      </c>
      <c r="E57" s="270">
        <v>1240.2</v>
      </c>
      <c r="F57" s="271">
        <v>1682.3</v>
      </c>
      <c r="G57" s="268"/>
      <c r="H57" s="268"/>
      <c r="I57" s="268"/>
    </row>
    <row r="58" spans="1:14" ht="14.4" x14ac:dyDescent="0.3">
      <c r="A58" s="263">
        <f t="shared" si="0"/>
        <v>2016</v>
      </c>
      <c r="B58" s="264" t="str">
        <f t="shared" si="1"/>
        <v>1</v>
      </c>
      <c r="C58" s="179">
        <v>42430</v>
      </c>
      <c r="D58" s="265">
        <v>306.60000000000002</v>
      </c>
      <c r="E58" s="266">
        <v>994.8</v>
      </c>
      <c r="F58" s="267">
        <v>1301.3</v>
      </c>
      <c r="G58" s="268"/>
      <c r="H58" s="268"/>
      <c r="I58" s="268"/>
    </row>
    <row r="59" spans="1:14" ht="14.4" x14ac:dyDescent="0.3">
      <c r="A59" s="263">
        <f t="shared" si="0"/>
        <v>2016</v>
      </c>
      <c r="B59" s="264" t="str">
        <f t="shared" si="1"/>
        <v>2</v>
      </c>
      <c r="C59" s="179">
        <v>42522</v>
      </c>
      <c r="D59" s="269">
        <v>418.2</v>
      </c>
      <c r="E59" s="270">
        <v>1376.4</v>
      </c>
      <c r="F59" s="271">
        <v>1794.6</v>
      </c>
      <c r="G59" s="268"/>
      <c r="H59" s="268"/>
      <c r="I59" s="268"/>
    </row>
    <row r="60" spans="1:14" ht="14.4" x14ac:dyDescent="0.3">
      <c r="A60" s="263">
        <f t="shared" si="0"/>
        <v>2016</v>
      </c>
      <c r="B60" s="264" t="str">
        <f t="shared" si="1"/>
        <v>3</v>
      </c>
      <c r="C60" s="179">
        <v>42614</v>
      </c>
      <c r="D60" s="265">
        <v>539.1</v>
      </c>
      <c r="E60" s="266">
        <v>1257.9000000000001</v>
      </c>
      <c r="F60" s="267">
        <v>1796.9</v>
      </c>
      <c r="G60" s="268"/>
      <c r="H60" s="268"/>
      <c r="I60" s="268"/>
    </row>
    <row r="61" spans="1:14" ht="14.4" x14ac:dyDescent="0.3">
      <c r="A61" s="263">
        <f t="shared" si="0"/>
        <v>2016</v>
      </c>
      <c r="B61" s="264" t="str">
        <f t="shared" si="1"/>
        <v>4</v>
      </c>
      <c r="C61" s="179">
        <v>42705</v>
      </c>
      <c r="D61" s="269">
        <v>658.7</v>
      </c>
      <c r="E61" s="270">
        <v>1183.9000000000001</v>
      </c>
      <c r="F61" s="271">
        <v>1842.6</v>
      </c>
      <c r="G61" s="268"/>
      <c r="H61" s="268"/>
      <c r="I61" s="268"/>
    </row>
    <row r="62" spans="1:14" ht="14.4" x14ac:dyDescent="0.3">
      <c r="A62" s="263">
        <f t="shared" si="0"/>
        <v>2017</v>
      </c>
      <c r="B62" s="264" t="str">
        <f t="shared" si="1"/>
        <v>1</v>
      </c>
      <c r="C62" s="179">
        <v>42795</v>
      </c>
      <c r="D62" s="265">
        <v>484</v>
      </c>
      <c r="E62" s="266">
        <v>1117.5</v>
      </c>
      <c r="F62" s="267">
        <v>1591.2</v>
      </c>
      <c r="G62" s="268"/>
      <c r="H62" s="268"/>
      <c r="I62" s="268"/>
    </row>
    <row r="63" spans="1:14" ht="14.4" x14ac:dyDescent="0.3">
      <c r="A63" s="263">
        <f t="shared" si="0"/>
        <v>2017</v>
      </c>
      <c r="B63" s="264" t="str">
        <f t="shared" si="1"/>
        <v>2</v>
      </c>
      <c r="C63" s="179">
        <v>42887</v>
      </c>
      <c r="D63" s="269">
        <v>682.6</v>
      </c>
      <c r="E63" s="270">
        <v>1616.2</v>
      </c>
      <c r="F63" s="271">
        <v>2298.6999999999998</v>
      </c>
      <c r="G63" s="268"/>
      <c r="H63" s="268"/>
      <c r="I63" s="268"/>
    </row>
    <row r="64" spans="1:14" ht="14.4" x14ac:dyDescent="0.3">
      <c r="A64" s="263">
        <f t="shared" si="0"/>
        <v>2017</v>
      </c>
      <c r="B64" s="264" t="str">
        <f t="shared" si="1"/>
        <v>3</v>
      </c>
      <c r="C64" s="179">
        <v>42979</v>
      </c>
      <c r="D64" s="265">
        <v>841.6</v>
      </c>
      <c r="E64" s="266">
        <v>1452.4</v>
      </c>
      <c r="F64" s="267">
        <v>2294</v>
      </c>
      <c r="G64" s="268"/>
      <c r="H64" s="268"/>
      <c r="I64" s="268"/>
    </row>
    <row r="65" spans="1:9" ht="14.4" x14ac:dyDescent="0.3">
      <c r="A65" s="263">
        <f t="shared" si="0"/>
        <v>2017</v>
      </c>
      <c r="B65" s="264" t="str">
        <f t="shared" si="1"/>
        <v>4</v>
      </c>
      <c r="C65" s="179">
        <v>43070</v>
      </c>
      <c r="D65" s="269">
        <v>766.1</v>
      </c>
      <c r="E65" s="270">
        <v>1409.8</v>
      </c>
      <c r="F65" s="271">
        <v>2175.9</v>
      </c>
      <c r="G65" s="268"/>
      <c r="H65" s="268"/>
      <c r="I65" s="268"/>
    </row>
    <row r="66" spans="1:9" ht="14.4" x14ac:dyDescent="0.3">
      <c r="A66" s="263">
        <f t="shared" si="0"/>
        <v>2018</v>
      </c>
      <c r="B66" s="264" t="str">
        <f t="shared" si="1"/>
        <v>1</v>
      </c>
      <c r="C66" s="179">
        <v>43160</v>
      </c>
      <c r="D66" s="265">
        <v>631.70000000000005</v>
      </c>
      <c r="E66" s="266">
        <v>1221.9000000000001</v>
      </c>
      <c r="F66" s="267">
        <v>1853.6</v>
      </c>
      <c r="G66" s="268"/>
      <c r="H66" s="268"/>
      <c r="I66" s="268"/>
    </row>
    <row r="67" spans="1:9" ht="14.4" x14ac:dyDescent="0.3">
      <c r="A67" s="263">
        <f t="shared" si="0"/>
        <v>2018</v>
      </c>
      <c r="B67" s="264" t="str">
        <f t="shared" si="1"/>
        <v>2</v>
      </c>
      <c r="C67" s="179">
        <v>43252</v>
      </c>
      <c r="D67" s="269">
        <v>971.8</v>
      </c>
      <c r="E67" s="270">
        <v>1701</v>
      </c>
      <c r="F67" s="271">
        <v>2672.8</v>
      </c>
      <c r="G67" s="268"/>
      <c r="H67" s="268"/>
      <c r="I67" s="268"/>
    </row>
    <row r="68" spans="1:9" ht="14.4" x14ac:dyDescent="0.3">
      <c r="A68" s="263">
        <f t="shared" si="0"/>
        <v>2018</v>
      </c>
      <c r="B68" s="264" t="str">
        <f t="shared" si="1"/>
        <v>3</v>
      </c>
      <c r="C68" s="179">
        <v>43344</v>
      </c>
      <c r="D68" s="265">
        <v>1041.7</v>
      </c>
      <c r="E68" s="266">
        <v>1778.6</v>
      </c>
      <c r="F68" s="267">
        <v>2811.6</v>
      </c>
      <c r="G68" s="268"/>
      <c r="H68" s="268"/>
      <c r="I68" s="268"/>
    </row>
    <row r="69" spans="1:9" ht="14.4" x14ac:dyDescent="0.3">
      <c r="A69" s="263">
        <f t="shared" si="0"/>
        <v>2018</v>
      </c>
      <c r="B69" s="264" t="str">
        <f t="shared" si="1"/>
        <v>4</v>
      </c>
      <c r="C69" s="179">
        <v>43435</v>
      </c>
      <c r="D69" s="269">
        <v>949.3</v>
      </c>
      <c r="E69" s="270">
        <v>1545.2</v>
      </c>
      <c r="F69" s="271">
        <v>2494.5</v>
      </c>
      <c r="G69" s="268"/>
      <c r="H69" s="268"/>
      <c r="I69" s="268"/>
    </row>
    <row r="70" spans="1:9" ht="14.4" x14ac:dyDescent="0.3">
      <c r="A70" s="263">
        <f t="shared" si="0"/>
        <v>2019</v>
      </c>
      <c r="B70" s="264" t="str">
        <f t="shared" si="1"/>
        <v>1</v>
      </c>
      <c r="C70" s="179">
        <v>43525</v>
      </c>
      <c r="D70" s="265">
        <v>755.4</v>
      </c>
      <c r="E70" s="266">
        <v>1460.4</v>
      </c>
      <c r="F70" s="267">
        <v>2215.8000000000002</v>
      </c>
      <c r="G70" s="268"/>
      <c r="H70" s="268"/>
      <c r="I70" s="268"/>
    </row>
    <row r="71" spans="1:9" ht="14.4" x14ac:dyDescent="0.3">
      <c r="A71" s="263">
        <f t="shared" si="0"/>
        <v>2019</v>
      </c>
      <c r="B71" s="264" t="str">
        <f t="shared" si="1"/>
        <v>2</v>
      </c>
      <c r="C71" s="179">
        <v>43617</v>
      </c>
      <c r="D71" s="269">
        <v>923.8</v>
      </c>
      <c r="E71" s="270">
        <v>1755.9</v>
      </c>
      <c r="F71" s="271">
        <v>2679.7</v>
      </c>
      <c r="G71" s="268"/>
      <c r="H71" s="268"/>
      <c r="I71" s="268"/>
    </row>
    <row r="72" spans="1:9" ht="14.4" x14ac:dyDescent="0.3">
      <c r="A72" s="263">
        <f t="shared" ref="A72:A85" si="2">YEAR(C72)</f>
        <v>2019</v>
      </c>
      <c r="B72" s="264" t="str">
        <f t="shared" ref="B72:B85" si="3">IF(MONTH(C72)&lt;4,"1",IF(MONTH(C72)&lt;7,"2",IF(MONTH(C72)&lt;10,"3","4")))</f>
        <v>3</v>
      </c>
      <c r="C72" s="179">
        <v>43709</v>
      </c>
      <c r="D72" s="265">
        <v>1115.8</v>
      </c>
      <c r="E72" s="266">
        <v>1664.5</v>
      </c>
      <c r="F72" s="267">
        <v>2780.3</v>
      </c>
      <c r="G72" s="268"/>
      <c r="H72" s="268"/>
      <c r="I72" s="268"/>
    </row>
    <row r="73" spans="1:9" ht="14.4" x14ac:dyDescent="0.3">
      <c r="A73" s="263">
        <f t="shared" si="2"/>
        <v>2019</v>
      </c>
      <c r="B73" s="264" t="str">
        <f t="shared" si="3"/>
        <v>4</v>
      </c>
      <c r="C73" s="179">
        <v>43800</v>
      </c>
      <c r="D73" s="269">
        <v>917.2</v>
      </c>
      <c r="E73" s="270">
        <v>1798</v>
      </c>
      <c r="F73" s="271">
        <v>2715.2</v>
      </c>
      <c r="G73" s="268"/>
      <c r="H73" s="268"/>
      <c r="I73" s="268"/>
    </row>
    <row r="74" spans="1:9" ht="14.4" x14ac:dyDescent="0.3">
      <c r="A74" s="263">
        <f t="shared" si="2"/>
        <v>2020</v>
      </c>
      <c r="B74" s="264" t="str">
        <f t="shared" si="3"/>
        <v>1</v>
      </c>
      <c r="C74" s="179">
        <v>43891</v>
      </c>
      <c r="D74" s="265">
        <v>805.7</v>
      </c>
      <c r="E74" s="266">
        <v>1447</v>
      </c>
      <c r="F74" s="267">
        <v>2252.6999999999998</v>
      </c>
      <c r="G74" s="268"/>
      <c r="H74" s="268"/>
      <c r="I74" s="268"/>
    </row>
    <row r="75" spans="1:9" ht="14.4" x14ac:dyDescent="0.3">
      <c r="A75" s="263">
        <f t="shared" si="2"/>
        <v>2020</v>
      </c>
      <c r="B75" s="264" t="str">
        <f t="shared" si="3"/>
        <v>2</v>
      </c>
      <c r="C75" s="179">
        <v>43983</v>
      </c>
      <c r="D75" s="269">
        <v>850.6</v>
      </c>
      <c r="E75" s="270">
        <v>1644.8</v>
      </c>
      <c r="F75" s="271">
        <v>2495.4</v>
      </c>
      <c r="G75" s="268"/>
      <c r="H75" s="268"/>
      <c r="I75" s="268"/>
    </row>
    <row r="76" spans="1:9" ht="14.4" x14ac:dyDescent="0.3">
      <c r="A76" s="263">
        <f t="shared" si="2"/>
        <v>2020</v>
      </c>
      <c r="B76" s="264" t="str">
        <f t="shared" si="3"/>
        <v>3</v>
      </c>
      <c r="C76" s="179">
        <v>44075</v>
      </c>
      <c r="D76" s="273">
        <v>1048.5</v>
      </c>
      <c r="E76" s="274">
        <v>1916.3</v>
      </c>
      <c r="F76" s="275">
        <v>2964.8</v>
      </c>
      <c r="G76" s="268"/>
      <c r="H76" s="268"/>
      <c r="I76" s="268"/>
    </row>
    <row r="77" spans="1:9" ht="14.4" x14ac:dyDescent="0.3">
      <c r="A77" s="263">
        <f t="shared" si="2"/>
        <v>2020</v>
      </c>
      <c r="B77" s="264" t="str">
        <f t="shared" si="3"/>
        <v>4</v>
      </c>
      <c r="C77" s="179">
        <v>44166</v>
      </c>
      <c r="D77" s="269">
        <v>1031.7</v>
      </c>
      <c r="E77" s="270">
        <v>1958.4</v>
      </c>
      <c r="F77" s="271">
        <v>2990.2</v>
      </c>
      <c r="G77" s="268"/>
      <c r="H77" s="268"/>
      <c r="I77" s="268"/>
    </row>
    <row r="78" spans="1:9" ht="14.4" x14ac:dyDescent="0.3">
      <c r="A78" s="263">
        <f t="shared" si="2"/>
        <v>2021</v>
      </c>
      <c r="B78" s="264" t="str">
        <f t="shared" si="3"/>
        <v>1</v>
      </c>
      <c r="C78" s="179">
        <v>44256</v>
      </c>
      <c r="D78" s="265">
        <v>878.4</v>
      </c>
      <c r="E78" s="265">
        <v>1915.4</v>
      </c>
      <c r="F78" s="276">
        <v>2793.8</v>
      </c>
      <c r="G78" s="268"/>
      <c r="H78" s="268"/>
      <c r="I78" s="268"/>
    </row>
    <row r="79" spans="1:9" ht="14.4" x14ac:dyDescent="0.3">
      <c r="A79" s="263">
        <f t="shared" si="2"/>
        <v>2021</v>
      </c>
      <c r="B79" s="264" t="str">
        <f t="shared" si="3"/>
        <v>2</v>
      </c>
      <c r="C79" s="179">
        <v>44348</v>
      </c>
      <c r="D79" s="269">
        <v>1107.4000000000001</v>
      </c>
      <c r="E79" s="269">
        <v>2536.5</v>
      </c>
      <c r="F79" s="277">
        <v>3644</v>
      </c>
      <c r="G79" s="268"/>
      <c r="H79" s="268"/>
      <c r="I79" s="268"/>
    </row>
    <row r="80" spans="1:9" ht="14.4" x14ac:dyDescent="0.3">
      <c r="A80" s="263">
        <f t="shared" si="2"/>
        <v>2021</v>
      </c>
      <c r="B80" s="264" t="str">
        <f t="shared" si="3"/>
        <v>3</v>
      </c>
      <c r="C80" s="179">
        <v>44440</v>
      </c>
      <c r="D80" s="265">
        <v>1160.3</v>
      </c>
      <c r="E80" s="265">
        <v>2462.3000000000002</v>
      </c>
      <c r="F80" s="276">
        <v>3622.6</v>
      </c>
      <c r="G80" s="268"/>
      <c r="H80" s="268"/>
      <c r="I80" s="268"/>
    </row>
    <row r="81" spans="1:9" ht="14.4" x14ac:dyDescent="0.3">
      <c r="A81" s="263">
        <f t="shared" si="2"/>
        <v>2021</v>
      </c>
      <c r="B81" s="264" t="str">
        <f t="shared" si="3"/>
        <v>4</v>
      </c>
      <c r="C81" s="179">
        <v>44531</v>
      </c>
      <c r="D81" s="269">
        <v>974.4</v>
      </c>
      <c r="E81" s="269">
        <v>2175.9</v>
      </c>
      <c r="F81" s="277">
        <v>3150.3</v>
      </c>
      <c r="G81" s="268"/>
      <c r="H81" s="268"/>
      <c r="I81" s="268"/>
    </row>
    <row r="82" spans="1:9" ht="14.4" x14ac:dyDescent="0.3">
      <c r="A82" s="263">
        <f t="shared" si="2"/>
        <v>2022</v>
      </c>
      <c r="B82" s="264" t="str">
        <f t="shared" si="3"/>
        <v>1</v>
      </c>
      <c r="C82" s="179">
        <v>44621</v>
      </c>
      <c r="D82" s="265">
        <v>830.2</v>
      </c>
      <c r="E82" s="265">
        <v>1824.6</v>
      </c>
      <c r="F82" s="276">
        <v>2654.8</v>
      </c>
      <c r="G82" s="268"/>
      <c r="H82" s="268"/>
      <c r="I82" s="268"/>
    </row>
    <row r="83" spans="1:9" ht="14.4" x14ac:dyDescent="0.3">
      <c r="A83" s="263">
        <f t="shared" si="2"/>
        <v>2022</v>
      </c>
      <c r="B83" s="264" t="str">
        <f t="shared" si="3"/>
        <v>2</v>
      </c>
      <c r="C83" s="179">
        <v>44713</v>
      </c>
      <c r="D83" s="269">
        <v>869.1</v>
      </c>
      <c r="E83" s="269">
        <v>2232.6999999999998</v>
      </c>
      <c r="F83" s="277">
        <v>3101.8</v>
      </c>
      <c r="G83" s="268"/>
      <c r="H83" s="268"/>
      <c r="I83" s="268"/>
    </row>
    <row r="84" spans="1:9" ht="14.4" x14ac:dyDescent="0.3">
      <c r="A84" s="263">
        <f t="shared" si="2"/>
        <v>2022</v>
      </c>
      <c r="B84" s="264" t="str">
        <f t="shared" si="3"/>
        <v>3</v>
      </c>
      <c r="C84" s="179">
        <v>44805</v>
      </c>
      <c r="D84" s="265">
        <v>943.3</v>
      </c>
      <c r="E84" s="265">
        <v>2133.6</v>
      </c>
      <c r="F84" s="276">
        <v>3076.9</v>
      </c>
      <c r="G84" s="268"/>
      <c r="H84" s="268"/>
      <c r="I84" s="268"/>
    </row>
    <row r="85" spans="1:9" ht="14.4" x14ac:dyDescent="0.3">
      <c r="A85" s="263">
        <f t="shared" si="2"/>
        <v>2022</v>
      </c>
      <c r="B85" s="264" t="str">
        <f t="shared" si="3"/>
        <v>4</v>
      </c>
      <c r="C85" s="179">
        <v>44896</v>
      </c>
      <c r="D85" s="269">
        <v>793.5</v>
      </c>
      <c r="E85" s="269">
        <v>2057.5</v>
      </c>
      <c r="F85" s="277">
        <v>2851</v>
      </c>
      <c r="G85" s="268"/>
      <c r="H85" s="268"/>
      <c r="I85" s="268"/>
    </row>
    <row r="86" spans="1:9" ht="14.4" x14ac:dyDescent="0.3">
      <c r="A86" s="263">
        <f t="shared" ref="A86:A149" si="4">YEAR(C88)</f>
        <v>2023</v>
      </c>
      <c r="B86" s="264" t="str">
        <f t="shared" ref="B86:B149" si="5">IF(MONTH(C88)&lt;4,"1",IF(MONTH(C88)&lt;7,"2",IF(MONTH(C88)&lt;10,"3","4")))</f>
        <v>3</v>
      </c>
      <c r="C86" s="179">
        <v>44986</v>
      </c>
      <c r="D86" s="265">
        <v>609.79999999999995</v>
      </c>
      <c r="E86" s="265">
        <v>1822.9</v>
      </c>
      <c r="F86" s="276">
        <v>2432.6999999999998</v>
      </c>
      <c r="G86" s="278"/>
      <c r="H86" s="278"/>
      <c r="I86" s="278"/>
    </row>
    <row r="87" spans="1:9" ht="14.4" x14ac:dyDescent="0.3">
      <c r="A87" s="263">
        <f t="shared" si="4"/>
        <v>2023</v>
      </c>
      <c r="B87" s="264" t="str">
        <f t="shared" si="5"/>
        <v>4</v>
      </c>
      <c r="C87" s="179">
        <v>45078</v>
      </c>
      <c r="D87" s="269">
        <v>818.5</v>
      </c>
      <c r="E87" s="269">
        <v>2116.1999999999998</v>
      </c>
      <c r="F87" s="277">
        <v>2934.7</v>
      </c>
      <c r="G87" s="278"/>
      <c r="H87" s="278"/>
      <c r="I87" s="278"/>
    </row>
    <row r="88" spans="1:9" ht="14.4" x14ac:dyDescent="0.3">
      <c r="A88" s="263">
        <f t="shared" si="4"/>
        <v>2024</v>
      </c>
      <c r="B88" s="264" t="str">
        <f t="shared" si="5"/>
        <v>1</v>
      </c>
      <c r="C88" s="179">
        <v>45170</v>
      </c>
      <c r="D88" s="265">
        <v>821.8</v>
      </c>
      <c r="E88" s="265">
        <v>1981.3</v>
      </c>
      <c r="F88" s="276">
        <v>2803.1</v>
      </c>
      <c r="G88" s="278"/>
      <c r="H88" s="278"/>
      <c r="I88" s="278"/>
    </row>
    <row r="89" spans="1:9" ht="14.4" x14ac:dyDescent="0.3">
      <c r="A89" s="263">
        <f t="shared" si="4"/>
        <v>2024</v>
      </c>
      <c r="B89" s="264" t="str">
        <f t="shared" si="5"/>
        <v>2</v>
      </c>
      <c r="C89" s="179">
        <v>45261</v>
      </c>
      <c r="D89" s="269">
        <v>745.3</v>
      </c>
      <c r="E89" s="269">
        <v>1903.5</v>
      </c>
      <c r="F89" s="277">
        <v>2648.8</v>
      </c>
      <c r="G89" s="278"/>
      <c r="H89" s="278"/>
      <c r="I89" s="278"/>
    </row>
    <row r="90" spans="1:9" ht="14.4" x14ac:dyDescent="0.3">
      <c r="A90" s="263">
        <f t="shared" si="4"/>
        <v>1900</v>
      </c>
      <c r="B90" s="264" t="str">
        <f t="shared" si="5"/>
        <v>1</v>
      </c>
      <c r="C90" s="179">
        <v>45352</v>
      </c>
      <c r="D90" s="265">
        <v>490.6</v>
      </c>
      <c r="E90" s="265">
        <v>1494.4</v>
      </c>
      <c r="F90" s="276">
        <v>1985</v>
      </c>
      <c r="G90" s="278"/>
      <c r="H90" s="278"/>
      <c r="I90" s="278"/>
    </row>
    <row r="91" spans="1:9" ht="15" thickBot="1" x14ac:dyDescent="0.35">
      <c r="A91" s="263">
        <f t="shared" si="4"/>
        <v>1900</v>
      </c>
      <c r="B91" s="264" t="str">
        <f t="shared" si="5"/>
        <v>1</v>
      </c>
      <c r="C91" s="201">
        <v>45444</v>
      </c>
      <c r="D91" s="279">
        <v>656.6</v>
      </c>
      <c r="E91" s="279">
        <v>1934.7</v>
      </c>
      <c r="F91" s="280">
        <v>2591.3000000000002</v>
      </c>
      <c r="G91" s="278"/>
      <c r="H91" s="278"/>
      <c r="I91" s="278"/>
    </row>
    <row r="92" spans="1:9" ht="14.4" x14ac:dyDescent="0.3">
      <c r="A92" s="263">
        <f t="shared" si="4"/>
        <v>1900</v>
      </c>
      <c r="B92" s="264" t="str">
        <f t="shared" si="5"/>
        <v>1</v>
      </c>
      <c r="G92" s="278"/>
      <c r="H92" s="278"/>
      <c r="I92" s="278"/>
    </row>
    <row r="93" spans="1:9" ht="14.4" x14ac:dyDescent="0.3">
      <c r="A93" s="263">
        <f t="shared" si="4"/>
        <v>1900</v>
      </c>
      <c r="B93" s="264" t="str">
        <f t="shared" si="5"/>
        <v>1</v>
      </c>
      <c r="G93" s="278"/>
      <c r="H93" s="278"/>
      <c r="I93" s="278"/>
    </row>
    <row r="94" spans="1:9" ht="14.4" x14ac:dyDescent="0.3">
      <c r="A94" s="263">
        <f t="shared" si="4"/>
        <v>1900</v>
      </c>
      <c r="B94" s="264" t="str">
        <f t="shared" si="5"/>
        <v>1</v>
      </c>
      <c r="G94" s="278"/>
      <c r="H94" s="278"/>
      <c r="I94" s="278"/>
    </row>
    <row r="95" spans="1:9" x14ac:dyDescent="0.2">
      <c r="A95" s="263">
        <f t="shared" si="4"/>
        <v>1900</v>
      </c>
      <c r="B95" s="264" t="str">
        <f t="shared" si="5"/>
        <v>1</v>
      </c>
      <c r="D95" s="281"/>
      <c r="E95" s="281"/>
      <c r="F95" s="281"/>
      <c r="G95" s="281"/>
      <c r="H95" s="281"/>
      <c r="I95" s="281"/>
    </row>
    <row r="96" spans="1:9" x14ac:dyDescent="0.2">
      <c r="A96" s="263">
        <f t="shared" si="4"/>
        <v>1900</v>
      </c>
      <c r="B96" s="264" t="str">
        <f t="shared" si="5"/>
        <v>1</v>
      </c>
      <c r="D96" s="281"/>
      <c r="E96" s="281"/>
      <c r="F96" s="281"/>
      <c r="G96" s="281"/>
      <c r="H96" s="281"/>
      <c r="I96" s="281"/>
    </row>
    <row r="97" spans="1:9" x14ac:dyDescent="0.2">
      <c r="A97" s="263">
        <f t="shared" si="4"/>
        <v>1900</v>
      </c>
      <c r="B97" s="264" t="str">
        <f t="shared" si="5"/>
        <v>1</v>
      </c>
      <c r="D97" s="281"/>
      <c r="E97" s="281"/>
      <c r="F97" s="281"/>
      <c r="G97" s="281"/>
      <c r="H97" s="281"/>
      <c r="I97" s="281"/>
    </row>
    <row r="98" spans="1:9" x14ac:dyDescent="0.2">
      <c r="A98" s="263">
        <f t="shared" si="4"/>
        <v>1900</v>
      </c>
      <c r="B98" s="264" t="str">
        <f t="shared" si="5"/>
        <v>1</v>
      </c>
      <c r="D98" s="281"/>
      <c r="E98" s="281"/>
      <c r="F98" s="281"/>
      <c r="G98" s="281"/>
      <c r="H98" s="281"/>
      <c r="I98" s="281"/>
    </row>
    <row r="99" spans="1:9" x14ac:dyDescent="0.2">
      <c r="A99" s="263">
        <f t="shared" si="4"/>
        <v>1900</v>
      </c>
      <c r="B99" s="264" t="str">
        <f t="shared" si="5"/>
        <v>1</v>
      </c>
      <c r="D99" s="281"/>
      <c r="E99" s="281"/>
      <c r="F99" s="281"/>
      <c r="G99" s="281"/>
      <c r="H99" s="281"/>
      <c r="I99" s="281"/>
    </row>
    <row r="100" spans="1:9" x14ac:dyDescent="0.2">
      <c r="A100" s="263">
        <f t="shared" si="4"/>
        <v>1900</v>
      </c>
      <c r="B100" s="264" t="str">
        <f t="shared" si="5"/>
        <v>1</v>
      </c>
      <c r="D100" s="281"/>
      <c r="E100" s="281"/>
      <c r="F100" s="281"/>
      <c r="G100" s="281"/>
      <c r="H100" s="281"/>
      <c r="I100" s="281"/>
    </row>
    <row r="101" spans="1:9" x14ac:dyDescent="0.2">
      <c r="A101" s="263">
        <f t="shared" si="4"/>
        <v>1900</v>
      </c>
      <c r="B101" s="264" t="str">
        <f t="shared" si="5"/>
        <v>1</v>
      </c>
      <c r="D101" s="281"/>
      <c r="E101" s="281"/>
      <c r="F101" s="281"/>
      <c r="G101" s="281"/>
      <c r="H101" s="281"/>
      <c r="I101" s="281"/>
    </row>
    <row r="102" spans="1:9" x14ac:dyDescent="0.2">
      <c r="A102" s="263">
        <f t="shared" si="4"/>
        <v>1900</v>
      </c>
      <c r="B102" s="264" t="str">
        <f t="shared" si="5"/>
        <v>1</v>
      </c>
      <c r="D102" s="281"/>
      <c r="E102" s="281"/>
      <c r="F102" s="281"/>
      <c r="G102" s="281"/>
      <c r="H102" s="281"/>
      <c r="I102" s="281"/>
    </row>
    <row r="103" spans="1:9" x14ac:dyDescent="0.2">
      <c r="A103" s="263">
        <f t="shared" si="4"/>
        <v>1900</v>
      </c>
      <c r="B103" s="264" t="str">
        <f t="shared" si="5"/>
        <v>1</v>
      </c>
      <c r="D103" s="281"/>
      <c r="E103" s="281"/>
      <c r="F103" s="281"/>
      <c r="G103" s="281"/>
      <c r="H103" s="281"/>
      <c r="I103" s="281"/>
    </row>
    <row r="104" spans="1:9" ht="14.4" x14ac:dyDescent="0.3">
      <c r="A104" s="263">
        <f t="shared" si="4"/>
        <v>1900</v>
      </c>
      <c r="B104" s="264" t="str">
        <f t="shared" si="5"/>
        <v>1</v>
      </c>
      <c r="G104" s="278"/>
      <c r="H104" s="278"/>
      <c r="I104" s="278"/>
    </row>
    <row r="105" spans="1:9" ht="14.4" x14ac:dyDescent="0.3">
      <c r="A105" s="263">
        <f t="shared" si="4"/>
        <v>1900</v>
      </c>
      <c r="B105" s="264" t="str">
        <f t="shared" si="5"/>
        <v>1</v>
      </c>
      <c r="G105" s="278"/>
      <c r="H105" s="278"/>
      <c r="I105" s="278"/>
    </row>
    <row r="106" spans="1:9" ht="14.4" x14ac:dyDescent="0.3">
      <c r="A106" s="263">
        <f t="shared" si="4"/>
        <v>1900</v>
      </c>
      <c r="B106" s="264" t="str">
        <f t="shared" si="5"/>
        <v>1</v>
      </c>
      <c r="G106" s="278"/>
      <c r="H106" s="278"/>
      <c r="I106" s="278"/>
    </row>
    <row r="107" spans="1:9" ht="14.4" x14ac:dyDescent="0.3">
      <c r="A107" s="263">
        <f t="shared" si="4"/>
        <v>1900</v>
      </c>
      <c r="B107" s="264" t="str">
        <f t="shared" si="5"/>
        <v>1</v>
      </c>
      <c r="G107" s="278"/>
      <c r="H107" s="278"/>
      <c r="I107" s="278"/>
    </row>
    <row r="108" spans="1:9" ht="14.4" x14ac:dyDescent="0.3">
      <c r="A108" s="263">
        <f t="shared" si="4"/>
        <v>1900</v>
      </c>
      <c r="B108" s="264" t="str">
        <f t="shared" si="5"/>
        <v>1</v>
      </c>
      <c r="G108" s="278"/>
      <c r="H108" s="278"/>
      <c r="I108" s="278"/>
    </row>
    <row r="109" spans="1:9" ht="14.4" x14ac:dyDescent="0.3">
      <c r="A109" s="263">
        <f t="shared" si="4"/>
        <v>1900</v>
      </c>
      <c r="B109" s="264" t="str">
        <f t="shared" si="5"/>
        <v>1</v>
      </c>
      <c r="G109" s="278"/>
      <c r="H109" s="278"/>
      <c r="I109" s="278"/>
    </row>
    <row r="110" spans="1:9" ht="14.4" x14ac:dyDescent="0.3">
      <c r="A110" s="263">
        <f t="shared" si="4"/>
        <v>1900</v>
      </c>
      <c r="B110" s="264" t="str">
        <f t="shared" si="5"/>
        <v>1</v>
      </c>
      <c r="G110" s="278"/>
      <c r="H110" s="278"/>
      <c r="I110" s="278"/>
    </row>
    <row r="111" spans="1:9" ht="14.4" x14ac:dyDescent="0.3">
      <c r="A111" s="263">
        <f t="shared" si="4"/>
        <v>1900</v>
      </c>
      <c r="B111" s="264" t="str">
        <f t="shared" si="5"/>
        <v>1</v>
      </c>
      <c r="G111" s="278"/>
      <c r="H111" s="278"/>
      <c r="I111" s="278"/>
    </row>
    <row r="112" spans="1:9" ht="14.4" x14ac:dyDescent="0.3">
      <c r="A112" s="263">
        <f t="shared" si="4"/>
        <v>1900</v>
      </c>
      <c r="B112" s="264" t="str">
        <f t="shared" si="5"/>
        <v>1</v>
      </c>
      <c r="G112" s="278"/>
      <c r="H112" s="278"/>
      <c r="I112" s="278"/>
    </row>
    <row r="113" spans="1:9" ht="14.4" x14ac:dyDescent="0.3">
      <c r="A113" s="263">
        <f t="shared" si="4"/>
        <v>1900</v>
      </c>
      <c r="B113" s="264" t="str">
        <f t="shared" si="5"/>
        <v>1</v>
      </c>
      <c r="G113" s="278"/>
      <c r="H113" s="278"/>
      <c r="I113" s="278"/>
    </row>
    <row r="114" spans="1:9" ht="14.4" x14ac:dyDescent="0.3">
      <c r="A114" s="263">
        <f t="shared" si="4"/>
        <v>1900</v>
      </c>
      <c r="B114" s="264" t="str">
        <f t="shared" si="5"/>
        <v>1</v>
      </c>
      <c r="G114" s="278"/>
      <c r="H114" s="278"/>
      <c r="I114" s="278"/>
    </row>
    <row r="115" spans="1:9" ht="14.4" x14ac:dyDescent="0.3">
      <c r="A115" s="263">
        <f t="shared" si="4"/>
        <v>1900</v>
      </c>
      <c r="B115" s="264" t="str">
        <f t="shared" si="5"/>
        <v>1</v>
      </c>
      <c r="G115" s="278"/>
      <c r="H115" s="278"/>
      <c r="I115" s="278"/>
    </row>
    <row r="116" spans="1:9" ht="14.4" x14ac:dyDescent="0.3">
      <c r="A116" s="263">
        <f t="shared" si="4"/>
        <v>1900</v>
      </c>
      <c r="B116" s="264" t="str">
        <f t="shared" si="5"/>
        <v>1</v>
      </c>
      <c r="G116" s="278"/>
      <c r="H116" s="278"/>
      <c r="I116" s="278"/>
    </row>
    <row r="117" spans="1:9" ht="14.4" x14ac:dyDescent="0.3">
      <c r="A117" s="263">
        <f t="shared" si="4"/>
        <v>1900</v>
      </c>
      <c r="B117" s="264" t="str">
        <f t="shared" si="5"/>
        <v>1</v>
      </c>
      <c r="G117" s="278"/>
      <c r="H117" s="278"/>
      <c r="I117" s="278"/>
    </row>
    <row r="118" spans="1:9" ht="14.4" x14ac:dyDescent="0.3">
      <c r="A118" s="263">
        <f t="shared" si="4"/>
        <v>1900</v>
      </c>
      <c r="B118" s="264" t="str">
        <f t="shared" si="5"/>
        <v>1</v>
      </c>
      <c r="G118" s="278"/>
      <c r="H118" s="278"/>
      <c r="I118" s="278"/>
    </row>
    <row r="119" spans="1:9" ht="14.4" x14ac:dyDescent="0.3">
      <c r="A119" s="263">
        <f t="shared" si="4"/>
        <v>1900</v>
      </c>
      <c r="B119" s="264" t="str">
        <f t="shared" si="5"/>
        <v>1</v>
      </c>
      <c r="G119" s="278"/>
      <c r="H119" s="278"/>
      <c r="I119" s="278"/>
    </row>
    <row r="120" spans="1:9" ht="14.4" x14ac:dyDescent="0.3">
      <c r="A120" s="263">
        <f t="shared" si="4"/>
        <v>1900</v>
      </c>
      <c r="B120" s="264" t="str">
        <f t="shared" si="5"/>
        <v>1</v>
      </c>
      <c r="G120" s="278"/>
      <c r="H120" s="278"/>
      <c r="I120" s="278"/>
    </row>
    <row r="121" spans="1:9" ht="14.4" x14ac:dyDescent="0.3">
      <c r="A121" s="263">
        <f t="shared" si="4"/>
        <v>1900</v>
      </c>
      <c r="B121" s="264" t="str">
        <f t="shared" si="5"/>
        <v>1</v>
      </c>
      <c r="G121" s="278"/>
      <c r="H121" s="278"/>
      <c r="I121" s="278"/>
    </row>
    <row r="122" spans="1:9" ht="14.4" x14ac:dyDescent="0.3">
      <c r="A122" s="263">
        <f t="shared" si="4"/>
        <v>1900</v>
      </c>
      <c r="B122" s="264" t="str">
        <f t="shared" si="5"/>
        <v>1</v>
      </c>
      <c r="G122" s="278"/>
      <c r="H122" s="278"/>
      <c r="I122" s="278"/>
    </row>
    <row r="123" spans="1:9" ht="14.4" x14ac:dyDescent="0.3">
      <c r="A123" s="263">
        <f t="shared" si="4"/>
        <v>1900</v>
      </c>
      <c r="B123" s="264" t="str">
        <f t="shared" si="5"/>
        <v>1</v>
      </c>
      <c r="G123" s="278"/>
      <c r="H123" s="278"/>
      <c r="I123" s="278"/>
    </row>
    <row r="124" spans="1:9" ht="14.4" x14ac:dyDescent="0.3">
      <c r="A124" s="263">
        <f t="shared" si="4"/>
        <v>1900</v>
      </c>
      <c r="B124" s="264" t="str">
        <f t="shared" si="5"/>
        <v>1</v>
      </c>
      <c r="G124" s="278"/>
      <c r="H124" s="278"/>
      <c r="I124" s="278"/>
    </row>
    <row r="125" spans="1:9" ht="14.4" x14ac:dyDescent="0.3">
      <c r="A125" s="263">
        <f t="shared" si="4"/>
        <v>1900</v>
      </c>
      <c r="B125" s="264" t="str">
        <f t="shared" si="5"/>
        <v>1</v>
      </c>
      <c r="G125" s="278"/>
      <c r="H125" s="278"/>
      <c r="I125" s="278"/>
    </row>
    <row r="126" spans="1:9" ht="14.4" x14ac:dyDescent="0.3">
      <c r="A126" s="263">
        <f t="shared" si="4"/>
        <v>1900</v>
      </c>
      <c r="B126" s="264" t="str">
        <f t="shared" si="5"/>
        <v>1</v>
      </c>
      <c r="G126" s="278"/>
      <c r="H126" s="278"/>
      <c r="I126" s="278"/>
    </row>
    <row r="127" spans="1:9" ht="14.4" x14ac:dyDescent="0.3">
      <c r="A127" s="263">
        <f t="shared" si="4"/>
        <v>1900</v>
      </c>
      <c r="B127" s="264" t="str">
        <f t="shared" si="5"/>
        <v>1</v>
      </c>
      <c r="G127" s="278"/>
      <c r="H127" s="278"/>
      <c r="I127" s="278"/>
    </row>
    <row r="128" spans="1:9" ht="14.4" x14ac:dyDescent="0.3">
      <c r="A128" s="263">
        <f t="shared" si="4"/>
        <v>1900</v>
      </c>
      <c r="B128" s="264" t="str">
        <f t="shared" si="5"/>
        <v>1</v>
      </c>
      <c r="G128" s="278"/>
      <c r="H128" s="278"/>
      <c r="I128" s="278"/>
    </row>
    <row r="129" spans="1:9" ht="14.4" x14ac:dyDescent="0.3">
      <c r="A129" s="263">
        <f t="shared" si="4"/>
        <v>1900</v>
      </c>
      <c r="B129" s="264" t="str">
        <f t="shared" si="5"/>
        <v>1</v>
      </c>
      <c r="G129" s="278"/>
      <c r="H129" s="278"/>
      <c r="I129" s="278"/>
    </row>
    <row r="130" spans="1:9" ht="14.4" x14ac:dyDescent="0.3">
      <c r="A130" s="263">
        <f t="shared" si="4"/>
        <v>1900</v>
      </c>
      <c r="B130" s="264" t="str">
        <f t="shared" si="5"/>
        <v>1</v>
      </c>
      <c r="G130" s="278"/>
      <c r="H130" s="278"/>
      <c r="I130" s="278"/>
    </row>
    <row r="131" spans="1:9" ht="14.4" x14ac:dyDescent="0.3">
      <c r="A131" s="263">
        <f t="shared" si="4"/>
        <v>1900</v>
      </c>
      <c r="B131" s="264" t="str">
        <f t="shared" si="5"/>
        <v>1</v>
      </c>
      <c r="G131" s="278"/>
      <c r="H131" s="278"/>
      <c r="I131" s="278"/>
    </row>
    <row r="132" spans="1:9" ht="14.4" x14ac:dyDescent="0.3">
      <c r="A132" s="263">
        <f t="shared" si="4"/>
        <v>1900</v>
      </c>
      <c r="B132" s="264" t="str">
        <f t="shared" si="5"/>
        <v>1</v>
      </c>
      <c r="G132" s="278"/>
      <c r="H132" s="278"/>
      <c r="I132" s="278"/>
    </row>
    <row r="133" spans="1:9" ht="14.4" x14ac:dyDescent="0.3">
      <c r="A133" s="263">
        <f t="shared" si="4"/>
        <v>1900</v>
      </c>
      <c r="B133" s="264" t="str">
        <f t="shared" si="5"/>
        <v>1</v>
      </c>
      <c r="G133" s="278"/>
      <c r="H133" s="278"/>
      <c r="I133" s="278"/>
    </row>
    <row r="134" spans="1:9" ht="14.4" x14ac:dyDescent="0.3">
      <c r="A134" s="263">
        <f t="shared" si="4"/>
        <v>1900</v>
      </c>
      <c r="B134" s="264" t="str">
        <f t="shared" si="5"/>
        <v>1</v>
      </c>
      <c r="G134" s="278"/>
      <c r="H134" s="278"/>
      <c r="I134" s="278"/>
    </row>
    <row r="135" spans="1:9" ht="14.4" x14ac:dyDescent="0.3">
      <c r="A135" s="263">
        <f t="shared" si="4"/>
        <v>1900</v>
      </c>
      <c r="B135" s="264" t="str">
        <f t="shared" si="5"/>
        <v>1</v>
      </c>
      <c r="G135" s="278"/>
      <c r="H135" s="278"/>
      <c r="I135" s="278"/>
    </row>
    <row r="136" spans="1:9" ht="14.4" x14ac:dyDescent="0.3">
      <c r="A136" s="263">
        <f t="shared" si="4"/>
        <v>1900</v>
      </c>
      <c r="B136" s="264" t="str">
        <f t="shared" si="5"/>
        <v>1</v>
      </c>
      <c r="G136" s="278"/>
      <c r="H136" s="278"/>
      <c r="I136" s="278"/>
    </row>
    <row r="137" spans="1:9" ht="14.4" x14ac:dyDescent="0.3">
      <c r="A137" s="263">
        <f t="shared" si="4"/>
        <v>1900</v>
      </c>
      <c r="B137" s="264" t="str">
        <f t="shared" si="5"/>
        <v>1</v>
      </c>
      <c r="G137" s="278"/>
      <c r="H137" s="278"/>
      <c r="I137" s="278"/>
    </row>
    <row r="138" spans="1:9" ht="14.4" x14ac:dyDescent="0.3">
      <c r="A138" s="263">
        <f t="shared" si="4"/>
        <v>1900</v>
      </c>
      <c r="B138" s="264" t="str">
        <f t="shared" si="5"/>
        <v>1</v>
      </c>
      <c r="G138" s="278"/>
      <c r="H138" s="278"/>
      <c r="I138" s="278"/>
    </row>
    <row r="139" spans="1:9" ht="14.4" x14ac:dyDescent="0.3">
      <c r="A139" s="263">
        <f t="shared" si="4"/>
        <v>1900</v>
      </c>
      <c r="B139" s="264" t="str">
        <f t="shared" si="5"/>
        <v>1</v>
      </c>
      <c r="G139" s="278"/>
      <c r="H139" s="278"/>
      <c r="I139" s="278"/>
    </row>
    <row r="140" spans="1:9" ht="14.4" x14ac:dyDescent="0.3">
      <c r="A140" s="263">
        <f t="shared" si="4"/>
        <v>1900</v>
      </c>
      <c r="B140" s="264" t="str">
        <f t="shared" si="5"/>
        <v>1</v>
      </c>
      <c r="G140" s="278"/>
      <c r="H140" s="278"/>
      <c r="I140" s="278"/>
    </row>
    <row r="141" spans="1:9" ht="14.4" x14ac:dyDescent="0.3">
      <c r="A141" s="263">
        <f t="shared" si="4"/>
        <v>1900</v>
      </c>
      <c r="B141" s="264" t="str">
        <f t="shared" si="5"/>
        <v>1</v>
      </c>
      <c r="G141" s="278"/>
      <c r="H141" s="278"/>
      <c r="I141" s="278"/>
    </row>
    <row r="142" spans="1:9" ht="14.4" x14ac:dyDescent="0.3">
      <c r="A142" s="263">
        <f t="shared" si="4"/>
        <v>1900</v>
      </c>
      <c r="B142" s="264" t="str">
        <f t="shared" si="5"/>
        <v>1</v>
      </c>
      <c r="G142" s="278"/>
      <c r="H142" s="278"/>
      <c r="I142" s="278"/>
    </row>
    <row r="143" spans="1:9" ht="14.4" x14ac:dyDescent="0.3">
      <c r="A143" s="263">
        <f t="shared" si="4"/>
        <v>1900</v>
      </c>
      <c r="B143" s="264" t="str">
        <f t="shared" si="5"/>
        <v>1</v>
      </c>
      <c r="G143" s="278"/>
      <c r="H143" s="278"/>
      <c r="I143" s="278"/>
    </row>
    <row r="144" spans="1:9" ht="14.4" x14ac:dyDescent="0.3">
      <c r="A144" s="263">
        <f t="shared" si="4"/>
        <v>1900</v>
      </c>
      <c r="B144" s="264" t="str">
        <f t="shared" si="5"/>
        <v>1</v>
      </c>
      <c r="G144" s="278"/>
      <c r="H144" s="278"/>
      <c r="I144" s="278"/>
    </row>
    <row r="145" spans="1:9" ht="14.4" x14ac:dyDescent="0.3">
      <c r="A145" s="263">
        <f t="shared" si="4"/>
        <v>1900</v>
      </c>
      <c r="B145" s="264" t="str">
        <f t="shared" si="5"/>
        <v>1</v>
      </c>
      <c r="G145" s="278"/>
      <c r="H145" s="278"/>
      <c r="I145" s="278"/>
    </row>
    <row r="146" spans="1:9" ht="14.4" x14ac:dyDescent="0.3">
      <c r="A146" s="263">
        <f t="shared" si="4"/>
        <v>1900</v>
      </c>
      <c r="B146" s="264" t="str">
        <f t="shared" si="5"/>
        <v>1</v>
      </c>
      <c r="G146" s="278"/>
      <c r="H146" s="278"/>
      <c r="I146" s="278"/>
    </row>
    <row r="147" spans="1:9" ht="14.4" x14ac:dyDescent="0.3">
      <c r="A147" s="263">
        <f t="shared" si="4"/>
        <v>1900</v>
      </c>
      <c r="B147" s="264" t="str">
        <f t="shared" si="5"/>
        <v>1</v>
      </c>
      <c r="G147" s="278"/>
      <c r="H147" s="278"/>
      <c r="I147" s="278"/>
    </row>
    <row r="148" spans="1:9" ht="14.4" x14ac:dyDescent="0.3">
      <c r="A148" s="263">
        <f t="shared" si="4"/>
        <v>1900</v>
      </c>
      <c r="B148" s="264" t="str">
        <f t="shared" si="5"/>
        <v>1</v>
      </c>
      <c r="G148" s="278"/>
      <c r="H148" s="278"/>
      <c r="I148" s="278"/>
    </row>
    <row r="149" spans="1:9" ht="14.4" x14ac:dyDescent="0.3">
      <c r="A149" s="263">
        <f t="shared" si="4"/>
        <v>1900</v>
      </c>
      <c r="B149" s="264" t="str">
        <f t="shared" si="5"/>
        <v>1</v>
      </c>
      <c r="G149" s="278"/>
      <c r="H149" s="278"/>
      <c r="I149" s="278"/>
    </row>
    <row r="150" spans="1:9" ht="14.4" x14ac:dyDescent="0.3">
      <c r="G150" s="278"/>
      <c r="H150" s="278"/>
      <c r="I150" s="278"/>
    </row>
    <row r="151" spans="1:9" ht="14.4" x14ac:dyDescent="0.3">
      <c r="G151" s="278"/>
      <c r="H151" s="278"/>
      <c r="I151" s="278"/>
    </row>
    <row r="152" spans="1:9" ht="14.4" x14ac:dyDescent="0.3">
      <c r="G152" s="278"/>
      <c r="H152" s="278"/>
      <c r="I152" s="278"/>
    </row>
    <row r="153" spans="1:9" ht="14.4" x14ac:dyDescent="0.3">
      <c r="G153" s="278"/>
      <c r="H153" s="278"/>
      <c r="I153" s="278"/>
    </row>
    <row r="154" spans="1:9" ht="14.4" x14ac:dyDescent="0.3">
      <c r="G154" s="278"/>
      <c r="H154" s="278"/>
      <c r="I154" s="278"/>
    </row>
    <row r="155" spans="1:9" ht="14.4" x14ac:dyDescent="0.3">
      <c r="G155" s="278"/>
      <c r="H155" s="278"/>
      <c r="I155" s="278"/>
    </row>
    <row r="156" spans="1:9" ht="14.4" x14ac:dyDescent="0.3">
      <c r="G156" s="278"/>
      <c r="H156" s="278"/>
      <c r="I156" s="278"/>
    </row>
    <row r="157" spans="1:9" ht="14.4" x14ac:dyDescent="0.3">
      <c r="G157" s="278"/>
      <c r="H157" s="278"/>
      <c r="I157" s="278"/>
    </row>
    <row r="158" spans="1:9" ht="14.4" x14ac:dyDescent="0.3">
      <c r="G158" s="278"/>
      <c r="H158" s="278"/>
      <c r="I158" s="278"/>
    </row>
    <row r="159" spans="1:9" ht="14.4" x14ac:dyDescent="0.3">
      <c r="G159" s="278"/>
      <c r="H159" s="278"/>
      <c r="I159" s="278"/>
    </row>
    <row r="160" spans="1:9" ht="14.4" x14ac:dyDescent="0.3">
      <c r="G160" s="278"/>
      <c r="H160" s="278"/>
      <c r="I160" s="278"/>
    </row>
    <row r="161" spans="4:9" ht="14.4" x14ac:dyDescent="0.3">
      <c r="D161" s="282"/>
      <c r="E161" s="282"/>
      <c r="F161" s="282"/>
      <c r="G161" s="278"/>
      <c r="H161" s="278"/>
      <c r="I161" s="278"/>
    </row>
    <row r="162" spans="4:9" ht="14.4" x14ac:dyDescent="0.3">
      <c r="D162" s="282"/>
      <c r="E162" s="282"/>
      <c r="F162" s="282"/>
      <c r="G162" s="278"/>
      <c r="H162" s="278"/>
      <c r="I162" s="278"/>
    </row>
    <row r="163" spans="4:9" ht="14.4" x14ac:dyDescent="0.3">
      <c r="D163" s="282"/>
      <c r="E163" s="282"/>
      <c r="F163" s="282"/>
      <c r="G163" s="278"/>
      <c r="H163" s="278"/>
      <c r="I163" s="278"/>
    </row>
    <row r="164" spans="4:9" ht="14.4" x14ac:dyDescent="0.3">
      <c r="D164" s="282"/>
      <c r="E164" s="282"/>
      <c r="F164" s="282"/>
      <c r="G164" s="278"/>
      <c r="H164" s="278"/>
      <c r="I164" s="278"/>
    </row>
    <row r="165" spans="4:9" ht="14.4" x14ac:dyDescent="0.3">
      <c r="D165" s="282"/>
      <c r="E165" s="282"/>
      <c r="F165" s="282"/>
      <c r="G165" s="278"/>
      <c r="H165" s="278"/>
      <c r="I165" s="278"/>
    </row>
    <row r="166" spans="4:9" ht="14.4" x14ac:dyDescent="0.3">
      <c r="D166" s="282"/>
      <c r="E166" s="282"/>
      <c r="F166" s="282"/>
      <c r="G166" s="278"/>
      <c r="H166" s="278"/>
      <c r="I166" s="278"/>
    </row>
    <row r="167" spans="4:9" ht="14.4" x14ac:dyDescent="0.3">
      <c r="D167" s="282"/>
      <c r="E167" s="282"/>
      <c r="F167" s="282"/>
      <c r="G167" s="278"/>
      <c r="H167" s="278"/>
      <c r="I167" s="278"/>
    </row>
    <row r="168" spans="4:9" x14ac:dyDescent="0.2">
      <c r="D168" s="282"/>
      <c r="E168" s="282"/>
      <c r="F168" s="282"/>
    </row>
    <row r="169" spans="4:9" x14ac:dyDescent="0.2">
      <c r="D169" s="282"/>
      <c r="E169" s="282"/>
      <c r="F169" s="282"/>
    </row>
    <row r="170" spans="4:9" x14ac:dyDescent="0.2">
      <c r="D170" s="282"/>
      <c r="E170" s="282"/>
      <c r="F170" s="282"/>
    </row>
    <row r="171" spans="4:9" x14ac:dyDescent="0.2">
      <c r="D171" s="282"/>
      <c r="E171" s="282"/>
      <c r="F171" s="282"/>
    </row>
    <row r="172" spans="4:9" x14ac:dyDescent="0.2">
      <c r="D172" s="282"/>
      <c r="E172" s="282"/>
      <c r="F172" s="282"/>
    </row>
    <row r="173" spans="4:9" x14ac:dyDescent="0.2">
      <c r="D173" s="282"/>
      <c r="E173" s="282"/>
      <c r="F173" s="282"/>
    </row>
    <row r="174" spans="4:9" x14ac:dyDescent="0.2">
      <c r="D174" s="282"/>
      <c r="E174" s="282"/>
      <c r="F174" s="282"/>
    </row>
    <row r="175" spans="4:9" x14ac:dyDescent="0.2">
      <c r="D175" s="282"/>
      <c r="E175" s="282"/>
      <c r="F175" s="282"/>
    </row>
    <row r="176" spans="4:9" x14ac:dyDescent="0.2">
      <c r="D176" s="282"/>
      <c r="E176" s="282"/>
      <c r="F176" s="282"/>
    </row>
    <row r="177" spans="4:6" x14ac:dyDescent="0.2">
      <c r="D177" s="282"/>
      <c r="E177" s="282"/>
      <c r="F177" s="282"/>
    </row>
    <row r="178" spans="4:6" x14ac:dyDescent="0.2">
      <c r="D178" s="282"/>
      <c r="E178" s="282"/>
      <c r="F178" s="282"/>
    </row>
    <row r="179" spans="4:6" x14ac:dyDescent="0.2">
      <c r="D179" s="282"/>
      <c r="E179" s="282"/>
      <c r="F179" s="282"/>
    </row>
    <row r="180" spans="4:6" x14ac:dyDescent="0.2">
      <c r="D180" s="282"/>
      <c r="E180" s="282"/>
      <c r="F180" s="282"/>
    </row>
    <row r="181" spans="4:6" x14ac:dyDescent="0.2">
      <c r="D181" s="282"/>
      <c r="E181" s="282"/>
      <c r="F181" s="282"/>
    </row>
    <row r="182" spans="4:6" x14ac:dyDescent="0.2">
      <c r="D182" s="282"/>
      <c r="E182" s="282"/>
      <c r="F182" s="282"/>
    </row>
    <row r="183" spans="4:6" x14ac:dyDescent="0.2">
      <c r="D183" s="282"/>
      <c r="E183" s="282"/>
      <c r="F183" s="282"/>
    </row>
    <row r="184" spans="4:6" x14ac:dyDescent="0.2">
      <c r="D184" s="282"/>
      <c r="E184" s="282"/>
      <c r="F184" s="282"/>
    </row>
    <row r="185" spans="4:6" x14ac:dyDescent="0.2">
      <c r="D185" s="282"/>
      <c r="E185" s="282"/>
      <c r="F185" s="282"/>
    </row>
    <row r="186" spans="4:6" x14ac:dyDescent="0.2">
      <c r="D186" s="282"/>
      <c r="E186" s="282"/>
      <c r="F186" s="282"/>
    </row>
    <row r="187" spans="4:6" x14ac:dyDescent="0.2">
      <c r="D187" s="282"/>
      <c r="E187" s="282"/>
      <c r="F187" s="282"/>
    </row>
    <row r="188" spans="4:6" x14ac:dyDescent="0.2">
      <c r="D188" s="282"/>
      <c r="E188" s="282"/>
      <c r="F188" s="282"/>
    </row>
    <row r="189" spans="4:6" x14ac:dyDescent="0.2">
      <c r="D189" s="282"/>
      <c r="E189" s="282"/>
      <c r="F189" s="282"/>
    </row>
    <row r="190" spans="4:6" x14ac:dyDescent="0.2">
      <c r="D190" s="282"/>
      <c r="E190" s="282"/>
      <c r="F190" s="282"/>
    </row>
    <row r="191" spans="4:6" x14ac:dyDescent="0.2">
      <c r="D191" s="282"/>
      <c r="E191" s="282"/>
      <c r="F191" s="282"/>
    </row>
    <row r="192" spans="4:6" x14ac:dyDescent="0.2">
      <c r="D192" s="282"/>
      <c r="E192" s="282"/>
      <c r="F192" s="282"/>
    </row>
    <row r="193" spans="4:6" x14ac:dyDescent="0.2">
      <c r="D193" s="282"/>
      <c r="E193" s="282"/>
      <c r="F193" s="282"/>
    </row>
    <row r="194" spans="4:6" x14ac:dyDescent="0.2">
      <c r="D194" s="282"/>
      <c r="E194" s="282"/>
      <c r="F194" s="282"/>
    </row>
    <row r="195" spans="4:6" x14ac:dyDescent="0.2">
      <c r="D195" s="282"/>
      <c r="E195" s="282"/>
      <c r="F195" s="282"/>
    </row>
    <row r="196" spans="4:6" x14ac:dyDescent="0.2">
      <c r="D196" s="282"/>
      <c r="E196" s="282"/>
      <c r="F196" s="282"/>
    </row>
    <row r="197" spans="4:6" x14ac:dyDescent="0.2">
      <c r="D197" s="282"/>
      <c r="E197" s="282"/>
      <c r="F197" s="282"/>
    </row>
    <row r="198" spans="4:6" x14ac:dyDescent="0.2">
      <c r="D198" s="282"/>
      <c r="E198" s="282"/>
      <c r="F198" s="282"/>
    </row>
    <row r="199" spans="4:6" x14ac:dyDescent="0.2">
      <c r="D199" s="282"/>
      <c r="E199" s="282"/>
      <c r="F199" s="282"/>
    </row>
    <row r="200" spans="4:6" x14ac:dyDescent="0.2">
      <c r="D200" s="282"/>
      <c r="E200" s="282"/>
      <c r="F200" s="282"/>
    </row>
    <row r="201" spans="4:6" x14ac:dyDescent="0.2">
      <c r="D201" s="282"/>
      <c r="E201" s="282"/>
      <c r="F201" s="282"/>
    </row>
    <row r="202" spans="4:6" x14ac:dyDescent="0.2">
      <c r="D202" s="282"/>
      <c r="E202" s="282"/>
      <c r="F202" s="282"/>
    </row>
    <row r="203" spans="4:6" x14ac:dyDescent="0.2">
      <c r="D203" s="282"/>
      <c r="E203" s="282"/>
      <c r="F203" s="282"/>
    </row>
    <row r="204" spans="4:6" x14ac:dyDescent="0.2">
      <c r="D204" s="282"/>
      <c r="E204" s="282"/>
      <c r="F204" s="282"/>
    </row>
    <row r="205" spans="4:6" x14ac:dyDescent="0.2">
      <c r="D205" s="282"/>
      <c r="E205" s="282"/>
      <c r="F205" s="282"/>
    </row>
    <row r="206" spans="4:6" x14ac:dyDescent="0.2">
      <c r="D206" s="282"/>
      <c r="E206" s="282"/>
      <c r="F206" s="282"/>
    </row>
    <row r="207" spans="4:6" x14ac:dyDescent="0.2">
      <c r="D207" s="282"/>
      <c r="E207" s="282"/>
      <c r="F207" s="282"/>
    </row>
    <row r="208" spans="4:6" x14ac:dyDescent="0.2">
      <c r="D208" s="282"/>
      <c r="E208" s="282"/>
      <c r="F208" s="282"/>
    </row>
    <row r="209" spans="4:6" x14ac:dyDescent="0.2">
      <c r="D209" s="282"/>
      <c r="E209" s="282"/>
      <c r="F209" s="282"/>
    </row>
    <row r="210" spans="4:6" x14ac:dyDescent="0.2">
      <c r="D210" s="282"/>
      <c r="E210" s="282"/>
      <c r="F210" s="282"/>
    </row>
    <row r="211" spans="4:6" x14ac:dyDescent="0.2">
      <c r="D211" s="282"/>
      <c r="E211" s="282"/>
      <c r="F211" s="282"/>
    </row>
    <row r="212" spans="4:6" x14ac:dyDescent="0.2">
      <c r="D212" s="282"/>
      <c r="E212" s="282"/>
      <c r="F212" s="282"/>
    </row>
    <row r="213" spans="4:6" x14ac:dyDescent="0.2">
      <c r="D213" s="282"/>
      <c r="E213" s="282"/>
      <c r="F213" s="282"/>
    </row>
    <row r="214" spans="4:6" x14ac:dyDescent="0.2">
      <c r="D214" s="282"/>
      <c r="E214" s="282"/>
      <c r="F214" s="282"/>
    </row>
    <row r="215" spans="4:6" x14ac:dyDescent="0.2">
      <c r="D215" s="282"/>
      <c r="E215" s="282"/>
      <c r="F215" s="282"/>
    </row>
    <row r="216" spans="4:6" x14ac:dyDescent="0.2">
      <c r="D216" s="282"/>
      <c r="E216" s="282"/>
      <c r="F216" s="282"/>
    </row>
    <row r="217" spans="4:6" x14ac:dyDescent="0.2">
      <c r="D217" s="282"/>
      <c r="E217" s="282"/>
      <c r="F217" s="282"/>
    </row>
    <row r="218" spans="4:6" x14ac:dyDescent="0.2">
      <c r="D218" s="282"/>
      <c r="E218" s="282"/>
      <c r="F218" s="282"/>
    </row>
    <row r="219" spans="4:6" x14ac:dyDescent="0.2">
      <c r="D219" s="282"/>
      <c r="E219" s="282"/>
      <c r="F219" s="282"/>
    </row>
    <row r="220" spans="4:6" x14ac:dyDescent="0.2">
      <c r="D220" s="282"/>
      <c r="E220" s="282"/>
      <c r="F220" s="282"/>
    </row>
    <row r="221" spans="4:6" x14ac:dyDescent="0.2">
      <c r="D221" s="282"/>
      <c r="E221" s="282"/>
      <c r="F221" s="282"/>
    </row>
    <row r="222" spans="4:6" x14ac:dyDescent="0.2">
      <c r="D222" s="282"/>
      <c r="E222" s="282"/>
      <c r="F222" s="282"/>
    </row>
    <row r="223" spans="4:6" x14ac:dyDescent="0.2">
      <c r="D223" s="282"/>
      <c r="E223" s="282"/>
      <c r="F223" s="282"/>
    </row>
    <row r="224" spans="4:6" x14ac:dyDescent="0.2">
      <c r="D224" s="282"/>
      <c r="E224" s="282"/>
      <c r="F224" s="282"/>
    </row>
    <row r="225" spans="2:10" x14ac:dyDescent="0.2">
      <c r="D225" s="282"/>
      <c r="E225" s="282"/>
      <c r="F225" s="282"/>
    </row>
    <row r="226" spans="2:10" x14ac:dyDescent="0.2">
      <c r="D226" s="282"/>
      <c r="E226" s="282"/>
      <c r="F226" s="282"/>
    </row>
    <row r="227" spans="2:10" x14ac:dyDescent="0.2">
      <c r="D227" s="282"/>
      <c r="E227" s="282"/>
      <c r="F227" s="282"/>
    </row>
    <row r="228" spans="2:10" x14ac:dyDescent="0.2">
      <c r="D228" s="282"/>
      <c r="E228" s="282"/>
      <c r="F228" s="282"/>
    </row>
    <row r="229" spans="2:10" x14ac:dyDescent="0.2">
      <c r="D229" s="282"/>
      <c r="E229" s="282"/>
      <c r="F229" s="282"/>
    </row>
    <row r="230" spans="2:10" x14ac:dyDescent="0.2">
      <c r="D230" s="282"/>
      <c r="E230" s="282"/>
      <c r="F230" s="282"/>
    </row>
    <row r="231" spans="2:10" x14ac:dyDescent="0.2">
      <c r="D231" s="282"/>
      <c r="E231" s="282"/>
      <c r="F231" s="282"/>
    </row>
    <row r="232" spans="2:10" x14ac:dyDescent="0.2">
      <c r="D232" s="282"/>
      <c r="E232" s="282"/>
      <c r="F232" s="282"/>
    </row>
    <row r="233" spans="2:10" x14ac:dyDescent="0.2">
      <c r="D233" s="282"/>
      <c r="E233" s="282"/>
      <c r="F233" s="282"/>
    </row>
    <row r="234" spans="2:10" x14ac:dyDescent="0.2">
      <c r="D234" s="282"/>
      <c r="E234" s="282"/>
      <c r="F234" s="282"/>
    </row>
    <row r="235" spans="2:10" x14ac:dyDescent="0.2">
      <c r="B235" s="257">
        <v>63.54</v>
      </c>
      <c r="D235" s="282"/>
      <c r="E235" s="282"/>
      <c r="F235" s="282"/>
    </row>
    <row r="236" spans="2:10" x14ac:dyDescent="0.2">
      <c r="B236" s="257">
        <v>63.86</v>
      </c>
      <c r="D236" s="259"/>
      <c r="E236" s="259"/>
      <c r="F236" s="259"/>
      <c r="G236" s="258"/>
      <c r="H236" s="257"/>
      <c r="I236" s="257"/>
      <c r="J236" s="257"/>
    </row>
    <row r="237" spans="2:10" x14ac:dyDescent="0.2">
      <c r="B237" s="257">
        <v>63.7</v>
      </c>
      <c r="D237" s="259"/>
      <c r="E237" s="259"/>
      <c r="F237" s="259"/>
      <c r="G237" s="258"/>
      <c r="H237" s="257"/>
      <c r="I237" s="257"/>
      <c r="J237" s="257"/>
    </row>
    <row r="238" spans="2:10" x14ac:dyDescent="0.2">
      <c r="B238" s="257">
        <v>64.67</v>
      </c>
      <c r="D238" s="259"/>
      <c r="E238" s="259"/>
      <c r="F238" s="259"/>
      <c r="G238" s="258"/>
      <c r="H238" s="257"/>
      <c r="I238" s="257"/>
      <c r="J238" s="257"/>
    </row>
    <row r="239" spans="2:10" x14ac:dyDescent="0.2">
      <c r="B239" s="257">
        <v>65.03</v>
      </c>
      <c r="D239" s="259"/>
      <c r="E239" s="259"/>
      <c r="F239" s="259"/>
      <c r="G239" s="258"/>
      <c r="H239" s="257"/>
      <c r="I239" s="257"/>
      <c r="J239" s="257"/>
    </row>
    <row r="240" spans="2:10" x14ac:dyDescent="0.2">
      <c r="B240" s="257">
        <v>64.67</v>
      </c>
      <c r="D240" s="259"/>
      <c r="E240" s="259"/>
      <c r="F240" s="259"/>
      <c r="G240" s="258"/>
      <c r="H240" s="257"/>
      <c r="I240" s="257"/>
      <c r="J240" s="257"/>
    </row>
    <row r="241" spans="2:10" x14ac:dyDescent="0.2">
      <c r="B241" s="257">
        <v>65.260000000000005</v>
      </c>
      <c r="D241" s="259"/>
      <c r="E241" s="259"/>
      <c r="F241" s="259"/>
      <c r="G241" s="258"/>
      <c r="H241" s="257"/>
      <c r="I241" s="257"/>
      <c r="J241" s="257"/>
    </row>
    <row r="242" spans="2:10" x14ac:dyDescent="0.2">
      <c r="B242" s="257">
        <v>66.599999999999994</v>
      </c>
      <c r="D242" s="259"/>
      <c r="E242" s="259"/>
      <c r="F242" s="259"/>
      <c r="G242" s="258"/>
      <c r="H242" s="257"/>
      <c r="I242" s="257"/>
      <c r="J242" s="257"/>
    </row>
    <row r="243" spans="2:10" x14ac:dyDescent="0.2">
      <c r="B243" s="257">
        <v>66.28</v>
      </c>
      <c r="D243" s="259"/>
      <c r="E243" s="259"/>
      <c r="F243" s="259"/>
      <c r="G243" s="258"/>
      <c r="H243" s="257"/>
      <c r="I243" s="257"/>
      <c r="J243" s="257"/>
    </row>
    <row r="244" spans="2:10" x14ac:dyDescent="0.2">
      <c r="B244" s="257">
        <v>65.11</v>
      </c>
      <c r="D244" s="259"/>
      <c r="E244" s="259"/>
      <c r="F244" s="259"/>
      <c r="G244" s="258"/>
      <c r="H244" s="257"/>
      <c r="I244" s="257"/>
      <c r="J244" s="257"/>
    </row>
    <row r="245" spans="2:10" x14ac:dyDescent="0.2">
      <c r="B245" s="257">
        <v>64.040000000000006</v>
      </c>
      <c r="D245" s="259"/>
      <c r="E245" s="259"/>
      <c r="F245" s="259"/>
      <c r="G245" s="258"/>
      <c r="H245" s="257"/>
      <c r="I245" s="257"/>
      <c r="J245" s="257"/>
    </row>
    <row r="246" spans="2:10" x14ac:dyDescent="0.2">
      <c r="B246" s="257">
        <v>64.569999999999993</v>
      </c>
      <c r="D246" s="259"/>
      <c r="E246" s="259"/>
      <c r="F246" s="259"/>
      <c r="G246" s="258"/>
      <c r="H246" s="257"/>
      <c r="I246" s="257"/>
      <c r="J246" s="257"/>
    </row>
    <row r="247" spans="2:10" x14ac:dyDescent="0.2">
      <c r="D247" s="259"/>
      <c r="E247" s="259"/>
      <c r="F247" s="259"/>
      <c r="G247" s="258"/>
      <c r="H247" s="257"/>
      <c r="I247" s="257"/>
      <c r="J247" s="257"/>
    </row>
    <row r="248" spans="2:10" x14ac:dyDescent="0.2">
      <c r="D248" s="259"/>
      <c r="E248" s="259"/>
      <c r="F248" s="259"/>
      <c r="G248" s="258"/>
      <c r="H248" s="257"/>
      <c r="I248" s="257"/>
      <c r="J248" s="257"/>
    </row>
    <row r="249" spans="2:10" x14ac:dyDescent="0.2">
      <c r="D249" s="259"/>
      <c r="E249" s="259"/>
      <c r="F249" s="259"/>
      <c r="G249" s="258"/>
      <c r="H249" s="257"/>
      <c r="I249" s="257"/>
      <c r="J249" s="257"/>
    </row>
    <row r="250" spans="2:10" x14ac:dyDescent="0.2">
      <c r="D250" s="259"/>
      <c r="E250" s="259"/>
      <c r="F250" s="259"/>
      <c r="G250" s="258"/>
      <c r="H250" s="257"/>
      <c r="I250" s="257"/>
      <c r="J250" s="257"/>
    </row>
    <row r="251" spans="2:10" x14ac:dyDescent="0.2">
      <c r="D251" s="259"/>
      <c r="E251" s="259"/>
      <c r="F251" s="259"/>
      <c r="G251" s="258"/>
      <c r="H251" s="257"/>
      <c r="I251" s="257"/>
      <c r="J251" s="257"/>
    </row>
    <row r="252" spans="2:10" x14ac:dyDescent="0.2">
      <c r="D252" s="259"/>
      <c r="E252" s="259"/>
      <c r="F252" s="259"/>
      <c r="G252" s="258"/>
      <c r="H252" s="257"/>
      <c r="I252" s="257"/>
      <c r="J252" s="257"/>
    </row>
    <row r="253" spans="2:10" x14ac:dyDescent="0.2">
      <c r="D253" s="259"/>
      <c r="E253" s="259"/>
      <c r="F253" s="259"/>
      <c r="G253" s="258"/>
      <c r="H253" s="257"/>
      <c r="I253" s="257"/>
      <c r="J253" s="257"/>
    </row>
    <row r="254" spans="2:10" x14ac:dyDescent="0.2">
      <c r="D254" s="259"/>
      <c r="E254" s="259"/>
      <c r="F254" s="259"/>
      <c r="G254" s="258"/>
      <c r="H254" s="257"/>
      <c r="I254" s="257"/>
      <c r="J254" s="257"/>
    </row>
    <row r="255" spans="2:10" x14ac:dyDescent="0.2">
      <c r="D255" s="259"/>
      <c r="E255" s="259"/>
      <c r="F255" s="259"/>
      <c r="G255" s="258"/>
      <c r="H255" s="257"/>
      <c r="I255" s="257"/>
      <c r="J255" s="257"/>
    </row>
    <row r="256" spans="2:10" x14ac:dyDescent="0.2">
      <c r="D256" s="259"/>
      <c r="E256" s="259"/>
      <c r="F256" s="259"/>
      <c r="G256" s="258"/>
      <c r="H256" s="257"/>
      <c r="I256" s="257"/>
      <c r="J256" s="257"/>
    </row>
    <row r="257" spans="4:10" x14ac:dyDescent="0.2">
      <c r="D257" s="259"/>
      <c r="E257" s="259"/>
      <c r="F257" s="259"/>
      <c r="G257" s="258"/>
      <c r="H257" s="257"/>
      <c r="I257" s="257"/>
      <c r="J257" s="257"/>
    </row>
    <row r="258" spans="4:10" x14ac:dyDescent="0.2">
      <c r="D258" s="259"/>
      <c r="E258" s="259"/>
      <c r="F258" s="259"/>
      <c r="G258" s="258"/>
      <c r="H258" s="257"/>
      <c r="I258" s="257"/>
      <c r="J258" s="257"/>
    </row>
    <row r="259" spans="4:10" x14ac:dyDescent="0.2">
      <c r="D259" s="259"/>
      <c r="E259" s="259"/>
      <c r="F259" s="259"/>
      <c r="G259" s="258"/>
      <c r="H259" s="257"/>
      <c r="I259" s="257"/>
      <c r="J259" s="257"/>
    </row>
    <row r="260" spans="4:10" x14ac:dyDescent="0.2">
      <c r="D260" s="259"/>
      <c r="E260" s="259"/>
      <c r="F260" s="259"/>
      <c r="G260" s="258"/>
      <c r="H260" s="257"/>
      <c r="I260" s="257"/>
      <c r="J260" s="257"/>
    </row>
    <row r="261" spans="4:10" x14ac:dyDescent="0.2">
      <c r="D261" s="259"/>
      <c r="E261" s="259"/>
      <c r="F261" s="259"/>
      <c r="G261" s="258"/>
      <c r="H261" s="257"/>
      <c r="I261" s="257"/>
      <c r="J261" s="257"/>
    </row>
    <row r="262" spans="4:10" x14ac:dyDescent="0.2">
      <c r="D262" s="259"/>
      <c r="E262" s="259"/>
      <c r="F262" s="259"/>
      <c r="G262" s="258"/>
      <c r="H262" s="257"/>
      <c r="I262" s="257"/>
      <c r="J262" s="257"/>
    </row>
    <row r="263" spans="4:10" x14ac:dyDescent="0.2">
      <c r="D263" s="259"/>
      <c r="E263" s="259"/>
      <c r="F263" s="259"/>
      <c r="G263" s="258"/>
      <c r="H263" s="257"/>
      <c r="I263" s="257"/>
      <c r="J263" s="257"/>
    </row>
    <row r="264" spans="4:10" x14ac:dyDescent="0.2">
      <c r="D264" s="259"/>
      <c r="E264" s="259"/>
      <c r="F264" s="259"/>
      <c r="G264" s="258"/>
      <c r="H264" s="257"/>
      <c r="I264" s="257"/>
      <c r="J264" s="257"/>
    </row>
    <row r="265" spans="4:10" x14ac:dyDescent="0.2">
      <c r="D265" s="259"/>
      <c r="E265" s="259"/>
      <c r="F265" s="259"/>
      <c r="G265" s="258"/>
      <c r="H265" s="257"/>
      <c r="I265" s="257"/>
      <c r="J265" s="257"/>
    </row>
    <row r="266" spans="4:10" x14ac:dyDescent="0.2">
      <c r="D266" s="259"/>
      <c r="E266" s="259"/>
      <c r="F266" s="259"/>
      <c r="G266" s="258"/>
      <c r="H266" s="257"/>
      <c r="I266" s="257"/>
      <c r="J266" s="257"/>
    </row>
    <row r="267" spans="4:10" x14ac:dyDescent="0.2">
      <c r="D267" s="259"/>
      <c r="E267" s="259"/>
      <c r="F267" s="259"/>
      <c r="G267" s="258"/>
      <c r="H267" s="257"/>
      <c r="I267" s="257"/>
      <c r="J267" s="257"/>
    </row>
    <row r="268" spans="4:10" x14ac:dyDescent="0.2">
      <c r="D268" s="259"/>
      <c r="E268" s="259"/>
      <c r="F268" s="259"/>
      <c r="G268" s="258"/>
      <c r="H268" s="257"/>
      <c r="I268" s="257"/>
      <c r="J268" s="257"/>
    </row>
    <row r="269" spans="4:10" x14ac:dyDescent="0.2">
      <c r="D269" s="259"/>
      <c r="E269" s="259"/>
      <c r="F269" s="259"/>
      <c r="G269" s="258"/>
      <c r="H269" s="257"/>
      <c r="I269" s="257"/>
      <c r="J269" s="257"/>
    </row>
    <row r="270" spans="4:10" x14ac:dyDescent="0.2">
      <c r="D270" s="259"/>
      <c r="E270" s="259"/>
      <c r="F270" s="259"/>
      <c r="G270" s="258"/>
      <c r="H270" s="257"/>
      <c r="I270" s="257"/>
      <c r="J270" s="257"/>
    </row>
    <row r="271" spans="4:10" x14ac:dyDescent="0.2">
      <c r="D271" s="259"/>
      <c r="E271" s="259"/>
      <c r="F271" s="259"/>
      <c r="G271" s="258"/>
      <c r="H271" s="257"/>
      <c r="I271" s="257"/>
      <c r="J271" s="257"/>
    </row>
    <row r="272" spans="4:10" x14ac:dyDescent="0.2">
      <c r="D272" s="259"/>
      <c r="E272" s="259"/>
      <c r="F272" s="259"/>
      <c r="G272" s="258"/>
      <c r="H272" s="257"/>
      <c r="I272" s="257"/>
      <c r="J272" s="257"/>
    </row>
    <row r="273" spans="4:10" x14ac:dyDescent="0.2">
      <c r="D273" s="259"/>
      <c r="E273" s="259"/>
      <c r="F273" s="259"/>
      <c r="G273" s="258"/>
      <c r="H273" s="257"/>
      <c r="I273" s="257"/>
      <c r="J273" s="257"/>
    </row>
    <row r="274" spans="4:10" x14ac:dyDescent="0.2">
      <c r="D274" s="259"/>
      <c r="E274" s="259"/>
      <c r="F274" s="259"/>
      <c r="G274" s="258"/>
      <c r="H274" s="257"/>
      <c r="I274" s="257"/>
      <c r="J274" s="257"/>
    </row>
    <row r="275" spans="4:10" x14ac:dyDescent="0.2">
      <c r="D275" s="259"/>
      <c r="E275" s="259"/>
      <c r="F275" s="259"/>
      <c r="G275" s="258"/>
      <c r="H275" s="257"/>
      <c r="I275" s="257"/>
      <c r="J275" s="257"/>
    </row>
    <row r="276" spans="4:10" x14ac:dyDescent="0.2">
      <c r="D276" s="259"/>
      <c r="E276" s="259"/>
      <c r="F276" s="259"/>
      <c r="G276" s="258"/>
      <c r="H276" s="257"/>
      <c r="I276" s="257"/>
      <c r="J276" s="257"/>
    </row>
    <row r="277" spans="4:10" x14ac:dyDescent="0.2">
      <c r="D277" s="259"/>
      <c r="E277" s="259"/>
      <c r="F277" s="259"/>
      <c r="G277" s="258"/>
      <c r="H277" s="257"/>
      <c r="I277" s="257"/>
      <c r="J277" s="257"/>
    </row>
    <row r="278" spans="4:10" x14ac:dyDescent="0.2">
      <c r="D278" s="259"/>
      <c r="E278" s="259"/>
      <c r="F278" s="259"/>
      <c r="G278" s="258"/>
      <c r="H278" s="257"/>
      <c r="I278" s="257"/>
      <c r="J278" s="257"/>
    </row>
    <row r="279" spans="4:10" x14ac:dyDescent="0.2">
      <c r="D279" s="259"/>
      <c r="E279" s="259"/>
      <c r="F279" s="259"/>
      <c r="G279" s="258"/>
      <c r="H279" s="257"/>
      <c r="I279" s="257"/>
      <c r="J279" s="257"/>
    </row>
    <row r="280" spans="4:10" x14ac:dyDescent="0.2">
      <c r="D280" s="259"/>
      <c r="E280" s="259"/>
      <c r="F280" s="259"/>
      <c r="G280" s="258"/>
      <c r="H280" s="257"/>
      <c r="I280" s="257"/>
      <c r="J280" s="257"/>
    </row>
    <row r="281" spans="4:10" x14ac:dyDescent="0.2">
      <c r="D281" s="259"/>
      <c r="E281" s="259"/>
      <c r="F281" s="259"/>
      <c r="G281" s="258"/>
      <c r="H281" s="257"/>
      <c r="I281" s="257"/>
      <c r="J281" s="257"/>
    </row>
    <row r="282" spans="4:10" x14ac:dyDescent="0.2">
      <c r="D282" s="259"/>
      <c r="E282" s="259"/>
      <c r="F282" s="259"/>
      <c r="G282" s="258"/>
      <c r="H282" s="257"/>
      <c r="I282" s="257"/>
      <c r="J282" s="257"/>
    </row>
    <row r="283" spans="4:10" x14ac:dyDescent="0.2">
      <c r="D283" s="259"/>
      <c r="E283" s="259"/>
      <c r="F283" s="259"/>
      <c r="G283" s="258"/>
      <c r="H283" s="257"/>
      <c r="I283" s="257"/>
      <c r="J283" s="257"/>
    </row>
    <row r="284" spans="4:10" x14ac:dyDescent="0.2">
      <c r="D284" s="259"/>
      <c r="E284" s="259"/>
      <c r="F284" s="259"/>
      <c r="G284" s="258"/>
      <c r="H284" s="257"/>
      <c r="I284" s="257"/>
      <c r="J284" s="257"/>
    </row>
    <row r="285" spans="4:10" x14ac:dyDescent="0.2">
      <c r="D285" s="259"/>
      <c r="E285" s="259"/>
      <c r="F285" s="259"/>
      <c r="G285" s="258"/>
      <c r="H285" s="257"/>
      <c r="I285" s="257"/>
      <c r="J285" s="257"/>
    </row>
    <row r="286" spans="4:10" x14ac:dyDescent="0.2">
      <c r="D286" s="259"/>
      <c r="E286" s="259"/>
      <c r="F286" s="259"/>
      <c r="G286" s="258"/>
      <c r="H286" s="257"/>
      <c r="I286" s="257"/>
      <c r="J286" s="257"/>
    </row>
    <row r="287" spans="4:10" x14ac:dyDescent="0.2">
      <c r="D287" s="259"/>
      <c r="E287" s="259"/>
      <c r="F287" s="259"/>
      <c r="G287" s="258"/>
      <c r="H287" s="257"/>
      <c r="I287" s="257"/>
      <c r="J287" s="257"/>
    </row>
    <row r="288" spans="4:10" x14ac:dyDescent="0.2">
      <c r="D288" s="259"/>
      <c r="E288" s="259"/>
      <c r="F288" s="259"/>
      <c r="G288" s="258"/>
      <c r="H288" s="257"/>
      <c r="I288" s="257"/>
      <c r="J288" s="257"/>
    </row>
    <row r="289" spans="4:10" x14ac:dyDescent="0.2">
      <c r="D289" s="259"/>
      <c r="E289" s="259"/>
      <c r="F289" s="259"/>
      <c r="G289" s="258"/>
      <c r="H289" s="257"/>
      <c r="I289" s="257"/>
      <c r="J289" s="257"/>
    </row>
    <row r="290" spans="4:10" x14ac:dyDescent="0.2">
      <c r="D290" s="259"/>
      <c r="E290" s="259"/>
      <c r="F290" s="259"/>
      <c r="G290" s="258"/>
      <c r="H290" s="257"/>
      <c r="I290" s="257"/>
      <c r="J290" s="257"/>
    </row>
    <row r="291" spans="4:10" x14ac:dyDescent="0.2">
      <c r="D291" s="259"/>
      <c r="E291" s="259"/>
      <c r="F291" s="259"/>
      <c r="G291" s="258"/>
      <c r="H291" s="257"/>
      <c r="I291" s="257"/>
      <c r="J291" s="257"/>
    </row>
    <row r="292" spans="4:10" x14ac:dyDescent="0.2">
      <c r="D292" s="259"/>
      <c r="E292" s="259"/>
      <c r="F292" s="259"/>
      <c r="G292" s="258"/>
      <c r="H292" s="257"/>
      <c r="I292" s="257"/>
      <c r="J292" s="257"/>
    </row>
    <row r="293" spans="4:10" x14ac:dyDescent="0.2">
      <c r="D293" s="259"/>
      <c r="E293" s="259"/>
      <c r="F293" s="259"/>
      <c r="G293" s="258"/>
      <c r="H293" s="257"/>
      <c r="I293" s="257"/>
      <c r="J293" s="257"/>
    </row>
    <row r="294" spans="4:10" x14ac:dyDescent="0.2">
      <c r="D294" s="259"/>
      <c r="E294" s="259"/>
      <c r="F294" s="259"/>
      <c r="G294" s="258"/>
      <c r="H294" s="257"/>
      <c r="I294" s="257"/>
      <c r="J294" s="257"/>
    </row>
    <row r="295" spans="4:10" x14ac:dyDescent="0.2">
      <c r="D295" s="259"/>
      <c r="E295" s="259"/>
      <c r="F295" s="259"/>
      <c r="G295" s="258"/>
      <c r="H295" s="257"/>
      <c r="I295" s="257"/>
      <c r="J295" s="257"/>
    </row>
    <row r="296" spans="4:10" x14ac:dyDescent="0.2">
      <c r="D296" s="259"/>
      <c r="E296" s="259"/>
      <c r="F296" s="259"/>
      <c r="G296" s="258"/>
      <c r="H296" s="257"/>
      <c r="I296" s="257"/>
      <c r="J296" s="257"/>
    </row>
    <row r="297" spans="4:10" x14ac:dyDescent="0.2">
      <c r="D297" s="259"/>
      <c r="E297" s="259"/>
      <c r="F297" s="259"/>
      <c r="G297" s="258"/>
      <c r="H297" s="257"/>
      <c r="I297" s="257"/>
      <c r="J297" s="257"/>
    </row>
    <row r="298" spans="4:10" x14ac:dyDescent="0.2">
      <c r="D298" s="259"/>
      <c r="E298" s="259"/>
      <c r="F298" s="259"/>
      <c r="G298" s="258"/>
      <c r="H298" s="257"/>
      <c r="I298" s="257"/>
      <c r="J298" s="257"/>
    </row>
    <row r="299" spans="4:10" x14ac:dyDescent="0.2">
      <c r="D299" s="259"/>
      <c r="E299" s="259"/>
      <c r="F299" s="259"/>
      <c r="G299" s="258"/>
      <c r="H299" s="257"/>
      <c r="I299" s="257"/>
      <c r="J299" s="257"/>
    </row>
    <row r="300" spans="4:10" x14ac:dyDescent="0.2">
      <c r="D300" s="259"/>
      <c r="E300" s="259"/>
      <c r="F300" s="259"/>
      <c r="G300" s="258"/>
      <c r="H300" s="257"/>
      <c r="I300" s="257"/>
      <c r="J300" s="257"/>
    </row>
    <row r="301" spans="4:10" x14ac:dyDescent="0.2">
      <c r="D301" s="259"/>
      <c r="E301" s="259"/>
      <c r="F301" s="259"/>
      <c r="G301" s="258"/>
      <c r="H301" s="257"/>
      <c r="I301" s="257"/>
      <c r="J301" s="257"/>
    </row>
    <row r="302" spans="4:10" x14ac:dyDescent="0.2">
      <c r="D302" s="259"/>
      <c r="E302" s="259"/>
      <c r="F302" s="259"/>
      <c r="G302" s="258"/>
      <c r="H302" s="257"/>
      <c r="I302" s="257"/>
      <c r="J302" s="257"/>
    </row>
    <row r="303" spans="4:10" x14ac:dyDescent="0.2">
      <c r="D303" s="259"/>
      <c r="E303" s="259"/>
      <c r="F303" s="259"/>
      <c r="G303" s="258"/>
      <c r="H303" s="257"/>
      <c r="I303" s="257"/>
      <c r="J303" s="257"/>
    </row>
    <row r="304" spans="4:10" x14ac:dyDescent="0.2">
      <c r="D304" s="259"/>
      <c r="E304" s="259"/>
      <c r="F304" s="259"/>
      <c r="G304" s="258"/>
      <c r="H304" s="257"/>
      <c r="I304" s="257"/>
      <c r="J304" s="257"/>
    </row>
    <row r="305" spans="4:10" x14ac:dyDescent="0.2">
      <c r="D305" s="259"/>
      <c r="E305" s="259"/>
      <c r="F305" s="259"/>
      <c r="G305" s="258"/>
      <c r="H305" s="257"/>
      <c r="I305" s="257"/>
      <c r="J305" s="257"/>
    </row>
    <row r="306" spans="4:10" x14ac:dyDescent="0.2">
      <c r="D306" s="259"/>
      <c r="E306" s="259"/>
      <c r="F306" s="259"/>
      <c r="G306" s="258"/>
      <c r="H306" s="257"/>
      <c r="I306" s="257"/>
      <c r="J306" s="257"/>
    </row>
    <row r="307" spans="4:10" x14ac:dyDescent="0.2">
      <c r="D307" s="259"/>
      <c r="E307" s="259"/>
      <c r="F307" s="259"/>
      <c r="G307" s="258"/>
      <c r="H307" s="257"/>
      <c r="I307" s="257"/>
      <c r="J307" s="257"/>
    </row>
    <row r="308" spans="4:10" x14ac:dyDescent="0.2">
      <c r="D308" s="259"/>
      <c r="E308" s="259"/>
      <c r="F308" s="259"/>
      <c r="G308" s="258"/>
      <c r="H308" s="257"/>
      <c r="I308" s="257"/>
      <c r="J308" s="257"/>
    </row>
    <row r="309" spans="4:10" x14ac:dyDescent="0.2">
      <c r="D309" s="259"/>
      <c r="E309" s="259"/>
      <c r="F309" s="259"/>
      <c r="G309" s="258"/>
      <c r="H309" s="257"/>
      <c r="I309" s="257"/>
      <c r="J309" s="257"/>
    </row>
    <row r="310" spans="4:10" x14ac:dyDescent="0.2">
      <c r="D310" s="259"/>
      <c r="E310" s="259"/>
      <c r="F310" s="259"/>
      <c r="G310" s="258"/>
      <c r="H310" s="257"/>
      <c r="I310" s="257"/>
      <c r="J310" s="257"/>
    </row>
    <row r="311" spans="4:10" x14ac:dyDescent="0.2">
      <c r="D311" s="259"/>
      <c r="E311" s="259"/>
      <c r="F311" s="259"/>
      <c r="G311" s="258"/>
      <c r="H311" s="257"/>
      <c r="I311" s="257"/>
      <c r="J311" s="257"/>
    </row>
    <row r="312" spans="4:10" x14ac:dyDescent="0.2">
      <c r="D312" s="259"/>
      <c r="E312" s="259"/>
      <c r="F312" s="259"/>
      <c r="G312" s="258"/>
      <c r="H312" s="257"/>
      <c r="I312" s="257"/>
      <c r="J312" s="257"/>
    </row>
    <row r="313" spans="4:10" x14ac:dyDescent="0.2">
      <c r="D313" s="259"/>
      <c r="E313" s="259"/>
      <c r="F313" s="259"/>
      <c r="G313" s="258"/>
      <c r="H313" s="257"/>
      <c r="I313" s="257"/>
      <c r="J313" s="257"/>
    </row>
    <row r="314" spans="4:10" x14ac:dyDescent="0.2">
      <c r="D314" s="259"/>
      <c r="E314" s="259"/>
      <c r="F314" s="259"/>
      <c r="G314" s="258"/>
      <c r="H314" s="257"/>
      <c r="I314" s="257"/>
      <c r="J314" s="257"/>
    </row>
    <row r="315" spans="4:10" x14ac:dyDescent="0.2">
      <c r="D315" s="259"/>
      <c r="E315" s="259"/>
      <c r="F315" s="259"/>
      <c r="G315" s="258"/>
      <c r="H315" s="257"/>
      <c r="I315" s="257"/>
      <c r="J315" s="257"/>
    </row>
    <row r="316" spans="4:10" x14ac:dyDescent="0.2">
      <c r="D316" s="259"/>
      <c r="E316" s="259"/>
      <c r="F316" s="259"/>
      <c r="G316" s="258"/>
      <c r="H316" s="257"/>
      <c r="I316" s="257"/>
      <c r="J316" s="257"/>
    </row>
    <row r="317" spans="4:10" x14ac:dyDescent="0.2">
      <c r="D317" s="259"/>
      <c r="E317" s="259"/>
      <c r="F317" s="259"/>
      <c r="G317" s="258"/>
      <c r="H317" s="257"/>
      <c r="I317" s="257"/>
      <c r="J317" s="257"/>
    </row>
    <row r="318" spans="4:10" x14ac:dyDescent="0.2">
      <c r="D318" s="259"/>
      <c r="E318" s="259"/>
      <c r="F318" s="259"/>
      <c r="G318" s="258"/>
      <c r="H318" s="257"/>
      <c r="I318" s="257"/>
      <c r="J318" s="257"/>
    </row>
    <row r="319" spans="4:10" x14ac:dyDescent="0.2">
      <c r="D319" s="259"/>
      <c r="E319" s="259"/>
      <c r="F319" s="259"/>
      <c r="G319" s="258"/>
      <c r="H319" s="257"/>
      <c r="I319" s="257"/>
      <c r="J319" s="257"/>
    </row>
    <row r="320" spans="4:10" x14ac:dyDescent="0.2">
      <c r="D320" s="259"/>
      <c r="E320" s="259"/>
      <c r="F320" s="259"/>
      <c r="G320" s="258"/>
      <c r="H320" s="257"/>
      <c r="I320" s="257"/>
      <c r="J320" s="257"/>
    </row>
    <row r="321" spans="4:10" x14ac:dyDescent="0.2">
      <c r="D321" s="259"/>
      <c r="E321" s="259"/>
      <c r="F321" s="259"/>
      <c r="G321" s="258"/>
      <c r="H321" s="257"/>
      <c r="I321" s="257"/>
      <c r="J321" s="257"/>
    </row>
    <row r="322" spans="4:10" x14ac:dyDescent="0.2">
      <c r="D322" s="259"/>
      <c r="E322" s="259"/>
      <c r="F322" s="259"/>
      <c r="G322" s="258"/>
      <c r="H322" s="257"/>
      <c r="I322" s="257"/>
      <c r="J322" s="257"/>
    </row>
    <row r="323" spans="4:10" x14ac:dyDescent="0.2">
      <c r="D323" s="259"/>
      <c r="E323" s="259"/>
      <c r="F323" s="259"/>
      <c r="G323" s="258"/>
      <c r="H323" s="257"/>
      <c r="I323" s="257"/>
      <c r="J323" s="257"/>
    </row>
    <row r="324" spans="4:10" x14ac:dyDescent="0.2">
      <c r="D324" s="259"/>
      <c r="E324" s="259"/>
      <c r="F324" s="259"/>
      <c r="G324" s="258"/>
      <c r="H324" s="257"/>
      <c r="I324" s="257"/>
      <c r="J324" s="257"/>
    </row>
    <row r="325" spans="4:10" x14ac:dyDescent="0.2">
      <c r="D325" s="259"/>
      <c r="E325" s="259"/>
      <c r="F325" s="259"/>
      <c r="G325" s="258"/>
      <c r="H325" s="257"/>
      <c r="I325" s="257"/>
      <c r="J325" s="257"/>
    </row>
    <row r="326" spans="4:10" x14ac:dyDescent="0.2">
      <c r="D326" s="259"/>
      <c r="E326" s="259"/>
      <c r="F326" s="259"/>
      <c r="G326" s="258"/>
      <c r="H326" s="257"/>
      <c r="I326" s="257"/>
      <c r="J326" s="257"/>
    </row>
    <row r="327" spans="4:10" x14ac:dyDescent="0.2">
      <c r="D327" s="259"/>
      <c r="E327" s="259"/>
      <c r="F327" s="259"/>
      <c r="G327" s="258"/>
      <c r="H327" s="257"/>
      <c r="I327" s="257"/>
      <c r="J327" s="257"/>
    </row>
    <row r="328" spans="4:10" x14ac:dyDescent="0.2">
      <c r="D328" s="259"/>
      <c r="E328" s="259"/>
      <c r="F328" s="259"/>
      <c r="G328" s="258"/>
      <c r="H328" s="257"/>
      <c r="I328" s="257"/>
      <c r="J328" s="257"/>
    </row>
    <row r="329" spans="4:10" x14ac:dyDescent="0.2">
      <c r="D329" s="259"/>
      <c r="E329" s="259"/>
      <c r="F329" s="259"/>
      <c r="G329" s="258"/>
      <c r="H329" s="257"/>
      <c r="I329" s="257"/>
      <c r="J329" s="257"/>
    </row>
    <row r="330" spans="4:10" x14ac:dyDescent="0.2">
      <c r="D330" s="259"/>
      <c r="E330" s="259"/>
      <c r="F330" s="259"/>
      <c r="G330" s="258"/>
      <c r="H330" s="257"/>
      <c r="I330" s="257"/>
      <c r="J330" s="257"/>
    </row>
    <row r="331" spans="4:10" x14ac:dyDescent="0.2">
      <c r="D331" s="259"/>
      <c r="E331" s="259"/>
      <c r="F331" s="259"/>
      <c r="G331" s="258"/>
      <c r="H331" s="257"/>
      <c r="I331" s="257"/>
      <c r="J331" s="257"/>
    </row>
    <row r="332" spans="4:10" x14ac:dyDescent="0.2">
      <c r="D332" s="259"/>
      <c r="E332" s="259"/>
      <c r="F332" s="259"/>
      <c r="G332" s="258"/>
      <c r="H332" s="257"/>
      <c r="I332" s="257"/>
      <c r="J332" s="257"/>
    </row>
    <row r="333" spans="4:10" x14ac:dyDescent="0.2">
      <c r="D333" s="259"/>
      <c r="E333" s="259"/>
      <c r="F333" s="259"/>
      <c r="G333" s="258"/>
      <c r="H333" s="257"/>
      <c r="I333" s="257"/>
      <c r="J333" s="257"/>
    </row>
    <row r="334" spans="4:10" x14ac:dyDescent="0.2">
      <c r="D334" s="259"/>
      <c r="E334" s="259"/>
      <c r="F334" s="259"/>
      <c r="G334" s="258"/>
      <c r="H334" s="257"/>
      <c r="I334" s="257"/>
      <c r="J334" s="257"/>
    </row>
    <row r="335" spans="4:10" x14ac:dyDescent="0.2">
      <c r="D335" s="259"/>
      <c r="E335" s="259"/>
      <c r="F335" s="259"/>
      <c r="G335" s="258"/>
      <c r="H335" s="257"/>
      <c r="I335" s="257"/>
      <c r="J335" s="257"/>
    </row>
    <row r="336" spans="4:10" x14ac:dyDescent="0.2">
      <c r="D336" s="259"/>
      <c r="E336" s="259"/>
      <c r="F336" s="259"/>
      <c r="G336" s="258"/>
      <c r="H336" s="257"/>
      <c r="I336" s="257"/>
      <c r="J336" s="257"/>
    </row>
    <row r="337" spans="4:10" x14ac:dyDescent="0.2">
      <c r="D337" s="259"/>
      <c r="E337" s="259"/>
      <c r="F337" s="259"/>
      <c r="G337" s="258"/>
      <c r="H337" s="257"/>
      <c r="I337" s="257"/>
      <c r="J337" s="257"/>
    </row>
    <row r="338" spans="4:10" x14ac:dyDescent="0.2">
      <c r="D338" s="259"/>
      <c r="E338" s="259"/>
      <c r="F338" s="259"/>
      <c r="G338" s="258"/>
      <c r="H338" s="257"/>
      <c r="I338" s="257"/>
      <c r="J338" s="257"/>
    </row>
    <row r="339" spans="4:10" x14ac:dyDescent="0.2">
      <c r="D339" s="259"/>
      <c r="E339" s="259"/>
      <c r="F339" s="259"/>
      <c r="G339" s="258"/>
      <c r="H339" s="257"/>
      <c r="I339" s="257"/>
      <c r="J339" s="257"/>
    </row>
    <row r="340" spans="4:10" x14ac:dyDescent="0.2">
      <c r="D340" s="259"/>
      <c r="E340" s="259"/>
      <c r="F340" s="259"/>
      <c r="G340" s="258"/>
      <c r="H340" s="257"/>
      <c r="I340" s="257"/>
      <c r="J340" s="257"/>
    </row>
    <row r="341" spans="4:10" x14ac:dyDescent="0.2">
      <c r="D341" s="259"/>
      <c r="E341" s="259"/>
      <c r="F341" s="259"/>
      <c r="G341" s="258"/>
      <c r="H341" s="257"/>
      <c r="I341" s="257"/>
      <c r="J341" s="257"/>
    </row>
    <row r="342" spans="4:10" x14ac:dyDescent="0.2">
      <c r="D342" s="259"/>
      <c r="E342" s="259"/>
      <c r="F342" s="259"/>
      <c r="G342" s="258"/>
      <c r="H342" s="257"/>
      <c r="I342" s="257"/>
      <c r="J342" s="257"/>
    </row>
    <row r="343" spans="4:10" x14ac:dyDescent="0.2">
      <c r="D343" s="259"/>
      <c r="E343" s="259"/>
      <c r="F343" s="259"/>
      <c r="G343" s="258"/>
      <c r="H343" s="257"/>
      <c r="I343" s="257"/>
      <c r="J343" s="257"/>
    </row>
    <row r="344" spans="4:10" x14ac:dyDescent="0.2">
      <c r="D344" s="259"/>
      <c r="E344" s="259"/>
      <c r="F344" s="259"/>
      <c r="G344" s="258"/>
      <c r="H344" s="257"/>
      <c r="I344" s="257"/>
      <c r="J344" s="257"/>
    </row>
    <row r="345" spans="4:10" x14ac:dyDescent="0.2">
      <c r="D345" s="259"/>
      <c r="E345" s="259"/>
      <c r="F345" s="259"/>
      <c r="G345" s="258"/>
      <c r="H345" s="257"/>
      <c r="I345" s="257"/>
      <c r="J345" s="257"/>
    </row>
    <row r="346" spans="4:10" x14ac:dyDescent="0.2">
      <c r="D346" s="259"/>
      <c r="E346" s="259"/>
      <c r="F346" s="259"/>
      <c r="G346" s="258"/>
      <c r="H346" s="257"/>
      <c r="I346" s="257"/>
      <c r="J346" s="257"/>
    </row>
    <row r="347" spans="4:10" x14ac:dyDescent="0.2">
      <c r="D347" s="259"/>
      <c r="E347" s="259"/>
      <c r="F347" s="259"/>
      <c r="G347" s="258"/>
      <c r="H347" s="257"/>
      <c r="I347" s="257"/>
      <c r="J347" s="257"/>
    </row>
    <row r="348" spans="4:10" x14ac:dyDescent="0.2">
      <c r="D348" s="259"/>
      <c r="E348" s="259"/>
      <c r="F348" s="259"/>
      <c r="G348" s="258"/>
      <c r="H348" s="257"/>
      <c r="I348" s="257"/>
      <c r="J348" s="257"/>
    </row>
    <row r="349" spans="4:10" x14ac:dyDescent="0.2">
      <c r="D349" s="259"/>
      <c r="E349" s="259"/>
      <c r="F349" s="259"/>
      <c r="G349" s="258"/>
      <c r="H349" s="257"/>
      <c r="I349" s="257"/>
      <c r="J349" s="257"/>
    </row>
    <row r="350" spans="4:10" x14ac:dyDescent="0.2">
      <c r="D350" s="259"/>
      <c r="E350" s="259"/>
      <c r="F350" s="259"/>
      <c r="G350" s="258"/>
      <c r="H350" s="257"/>
      <c r="I350" s="257"/>
      <c r="J350" s="257"/>
    </row>
    <row r="351" spans="4:10" x14ac:dyDescent="0.2">
      <c r="D351" s="259"/>
      <c r="E351" s="259"/>
      <c r="F351" s="259"/>
      <c r="G351" s="258"/>
      <c r="H351" s="257"/>
      <c r="I351" s="257"/>
      <c r="J351" s="257"/>
    </row>
    <row r="352" spans="4:10" x14ac:dyDescent="0.2">
      <c r="D352" s="259"/>
      <c r="E352" s="259"/>
      <c r="F352" s="259"/>
      <c r="G352" s="258"/>
      <c r="H352" s="257"/>
      <c r="I352" s="257"/>
      <c r="J352" s="257"/>
    </row>
    <row r="353" spans="4:10" x14ac:dyDescent="0.2">
      <c r="D353" s="259"/>
      <c r="E353" s="259"/>
      <c r="F353" s="259"/>
      <c r="G353" s="258"/>
      <c r="H353" s="257"/>
      <c r="I353" s="257"/>
      <c r="J353" s="257"/>
    </row>
    <row r="354" spans="4:10" x14ac:dyDescent="0.2">
      <c r="D354" s="259"/>
      <c r="E354" s="259"/>
      <c r="F354" s="259"/>
      <c r="G354" s="258"/>
      <c r="H354" s="257"/>
      <c r="I354" s="257"/>
      <c r="J354" s="257"/>
    </row>
    <row r="355" spans="4:10" x14ac:dyDescent="0.2">
      <c r="D355" s="259"/>
      <c r="E355" s="259"/>
      <c r="F355" s="259"/>
      <c r="G355" s="258"/>
      <c r="H355" s="257"/>
      <c r="I355" s="257"/>
      <c r="J355" s="257"/>
    </row>
    <row r="356" spans="4:10" x14ac:dyDescent="0.2">
      <c r="D356" s="259"/>
      <c r="E356" s="259"/>
      <c r="F356" s="259"/>
      <c r="G356" s="258"/>
      <c r="H356" s="257"/>
      <c r="I356" s="257"/>
      <c r="J356" s="257"/>
    </row>
    <row r="357" spans="4:10" x14ac:dyDescent="0.2">
      <c r="D357" s="259"/>
      <c r="E357" s="259"/>
      <c r="F357" s="259"/>
      <c r="G357" s="258"/>
      <c r="H357" s="257"/>
      <c r="I357" s="257"/>
      <c r="J357" s="257"/>
    </row>
    <row r="358" spans="4:10" x14ac:dyDescent="0.2">
      <c r="D358" s="259"/>
      <c r="E358" s="259"/>
      <c r="F358" s="259"/>
      <c r="G358" s="258"/>
      <c r="H358" s="257"/>
      <c r="I358" s="257"/>
      <c r="J358" s="257"/>
    </row>
    <row r="359" spans="4:10" x14ac:dyDescent="0.2">
      <c r="D359" s="259"/>
      <c r="E359" s="259"/>
      <c r="F359" s="259"/>
      <c r="G359" s="258"/>
      <c r="H359" s="257"/>
      <c r="I359" s="257"/>
      <c r="J359" s="257"/>
    </row>
    <row r="360" spans="4:10" x14ac:dyDescent="0.2">
      <c r="D360" s="259"/>
      <c r="E360" s="259"/>
      <c r="F360" s="259"/>
      <c r="G360" s="258"/>
      <c r="H360" s="257"/>
      <c r="I360" s="257"/>
      <c r="J360" s="257"/>
    </row>
    <row r="361" spans="4:10" x14ac:dyDescent="0.2">
      <c r="D361" s="259"/>
      <c r="E361" s="259"/>
      <c r="F361" s="259"/>
      <c r="G361" s="258"/>
      <c r="H361" s="257"/>
      <c r="I361" s="257"/>
      <c r="J361" s="257"/>
    </row>
    <row r="362" spans="4:10" x14ac:dyDescent="0.2">
      <c r="D362" s="259"/>
      <c r="E362" s="259"/>
      <c r="F362" s="259"/>
      <c r="G362" s="258"/>
      <c r="H362" s="257"/>
      <c r="I362" s="257"/>
      <c r="J362" s="257"/>
    </row>
    <row r="363" spans="4:10" x14ac:dyDescent="0.2">
      <c r="D363" s="259"/>
      <c r="E363" s="259"/>
      <c r="F363" s="259"/>
      <c r="G363" s="258"/>
      <c r="H363" s="257"/>
      <c r="I363" s="257"/>
      <c r="J363" s="257"/>
    </row>
    <row r="364" spans="4:10" x14ac:dyDescent="0.2">
      <c r="D364" s="259"/>
      <c r="E364" s="259"/>
      <c r="F364" s="259"/>
      <c r="G364" s="258"/>
      <c r="H364" s="257"/>
      <c r="I364" s="257"/>
      <c r="J364" s="257"/>
    </row>
    <row r="365" spans="4:10" x14ac:dyDescent="0.2">
      <c r="D365" s="259"/>
      <c r="E365" s="259"/>
      <c r="F365" s="259"/>
      <c r="G365" s="258"/>
      <c r="H365" s="257"/>
      <c r="I365" s="257"/>
      <c r="J365" s="257"/>
    </row>
    <row r="366" spans="4:10" x14ac:dyDescent="0.2">
      <c r="D366" s="259"/>
      <c r="E366" s="259"/>
      <c r="F366" s="259"/>
      <c r="G366" s="258"/>
      <c r="H366" s="257"/>
      <c r="I366" s="257"/>
      <c r="J366" s="257"/>
    </row>
    <row r="367" spans="4:10" x14ac:dyDescent="0.2">
      <c r="D367" s="259"/>
      <c r="E367" s="259"/>
      <c r="F367" s="259"/>
      <c r="G367" s="258"/>
      <c r="H367" s="257"/>
      <c r="I367" s="257"/>
      <c r="J367" s="257"/>
    </row>
    <row r="368" spans="4:10" x14ac:dyDescent="0.2">
      <c r="D368" s="259"/>
      <c r="E368" s="259"/>
      <c r="F368" s="259"/>
      <c r="G368" s="258"/>
      <c r="H368" s="257"/>
      <c r="I368" s="257"/>
      <c r="J368" s="257"/>
    </row>
    <row r="369" spans="4:10" x14ac:dyDescent="0.2">
      <c r="D369" s="259"/>
      <c r="E369" s="259"/>
      <c r="F369" s="259"/>
      <c r="G369" s="258"/>
      <c r="H369" s="257"/>
      <c r="I369" s="257"/>
      <c r="J369" s="257"/>
    </row>
    <row r="370" spans="4:10" x14ac:dyDescent="0.2">
      <c r="D370" s="259"/>
      <c r="E370" s="259"/>
      <c r="F370" s="259"/>
      <c r="G370" s="258"/>
      <c r="H370" s="257"/>
      <c r="I370" s="257"/>
      <c r="J370" s="257"/>
    </row>
    <row r="371" spans="4:10" x14ac:dyDescent="0.2">
      <c r="D371" s="259"/>
      <c r="E371" s="259"/>
      <c r="F371" s="259"/>
      <c r="G371" s="258"/>
      <c r="H371" s="257"/>
      <c r="I371" s="257"/>
      <c r="J371" s="257"/>
    </row>
    <row r="372" spans="4:10" x14ac:dyDescent="0.2">
      <c r="D372" s="259"/>
      <c r="E372" s="259"/>
      <c r="F372" s="259"/>
      <c r="G372" s="258"/>
      <c r="H372" s="257"/>
      <c r="I372" s="257"/>
      <c r="J372" s="257"/>
    </row>
    <row r="373" spans="4:10" x14ac:dyDescent="0.2">
      <c r="D373" s="259"/>
      <c r="E373" s="259"/>
      <c r="F373" s="259"/>
      <c r="G373" s="258"/>
      <c r="H373" s="257"/>
      <c r="I373" s="257"/>
      <c r="J373" s="257"/>
    </row>
    <row r="374" spans="4:10" x14ac:dyDescent="0.2">
      <c r="D374" s="259"/>
      <c r="E374" s="259"/>
      <c r="F374" s="259"/>
      <c r="G374" s="258"/>
      <c r="H374" s="257"/>
      <c r="I374" s="257"/>
      <c r="J374" s="257"/>
    </row>
    <row r="375" spans="4:10" x14ac:dyDescent="0.2">
      <c r="D375" s="259"/>
      <c r="E375" s="259"/>
      <c r="F375" s="259"/>
      <c r="G375" s="258"/>
      <c r="H375" s="257"/>
      <c r="I375" s="257"/>
      <c r="J375" s="257"/>
    </row>
    <row r="376" spans="4:10" x14ac:dyDescent="0.2">
      <c r="D376" s="259"/>
      <c r="E376" s="259"/>
      <c r="F376" s="259"/>
      <c r="G376" s="258"/>
      <c r="H376" s="257"/>
      <c r="I376" s="257"/>
      <c r="J376" s="257"/>
    </row>
    <row r="377" spans="4:10" x14ac:dyDescent="0.2">
      <c r="D377" s="259"/>
      <c r="E377" s="259"/>
      <c r="F377" s="259"/>
      <c r="G377" s="258"/>
      <c r="H377" s="257"/>
      <c r="I377" s="257"/>
      <c r="J377" s="257"/>
    </row>
    <row r="378" spans="4:10" x14ac:dyDescent="0.2">
      <c r="D378" s="259"/>
      <c r="E378" s="259"/>
      <c r="F378" s="259"/>
      <c r="G378" s="258"/>
      <c r="H378" s="257"/>
      <c r="I378" s="257"/>
      <c r="J378" s="257"/>
    </row>
    <row r="379" spans="4:10" x14ac:dyDescent="0.2">
      <c r="D379" s="259"/>
      <c r="E379" s="259"/>
      <c r="F379" s="259"/>
      <c r="G379" s="258"/>
      <c r="H379" s="257"/>
      <c r="I379" s="257"/>
      <c r="J379" s="257"/>
    </row>
    <row r="380" spans="4:10" x14ac:dyDescent="0.2">
      <c r="D380" s="259"/>
      <c r="E380" s="259"/>
      <c r="F380" s="259"/>
      <c r="G380" s="258"/>
      <c r="H380" s="257"/>
      <c r="I380" s="257"/>
      <c r="J380" s="257"/>
    </row>
    <row r="381" spans="4:10" x14ac:dyDescent="0.2">
      <c r="D381" s="259"/>
      <c r="E381" s="259"/>
      <c r="F381" s="259"/>
      <c r="G381" s="258"/>
      <c r="H381" s="257"/>
      <c r="I381" s="257"/>
      <c r="J381" s="257"/>
    </row>
    <row r="382" spans="4:10" x14ac:dyDescent="0.2">
      <c r="D382" s="259"/>
      <c r="E382" s="259"/>
      <c r="F382" s="259"/>
      <c r="G382" s="258"/>
      <c r="H382" s="257"/>
      <c r="I382" s="257"/>
      <c r="J382" s="257"/>
    </row>
    <row r="383" spans="4:10" x14ac:dyDescent="0.2">
      <c r="D383" s="259"/>
      <c r="E383" s="259"/>
      <c r="F383" s="259"/>
      <c r="G383" s="258"/>
      <c r="H383" s="257"/>
      <c r="I383" s="257"/>
      <c r="J383" s="257"/>
    </row>
    <row r="384" spans="4:10" x14ac:dyDescent="0.2">
      <c r="D384" s="259"/>
      <c r="E384" s="259"/>
      <c r="F384" s="259"/>
      <c r="G384" s="258"/>
      <c r="H384" s="257"/>
      <c r="I384" s="257"/>
      <c r="J384" s="257"/>
    </row>
    <row r="385" spans="4:10" x14ac:dyDescent="0.2">
      <c r="D385" s="259"/>
      <c r="E385" s="259"/>
      <c r="F385" s="259"/>
      <c r="G385" s="258"/>
      <c r="H385" s="257"/>
      <c r="I385" s="257"/>
      <c r="J385" s="257"/>
    </row>
    <row r="386" spans="4:10" x14ac:dyDescent="0.2">
      <c r="D386" s="259"/>
      <c r="E386" s="259"/>
      <c r="F386" s="259"/>
      <c r="G386" s="258"/>
      <c r="H386" s="257"/>
      <c r="I386" s="257"/>
      <c r="J386" s="257"/>
    </row>
    <row r="387" spans="4:10" x14ac:dyDescent="0.2">
      <c r="D387" s="259"/>
      <c r="E387" s="259"/>
      <c r="F387" s="259"/>
      <c r="G387" s="258"/>
      <c r="H387" s="257"/>
      <c r="I387" s="257"/>
      <c r="J387" s="257"/>
    </row>
    <row r="388" spans="4:10" x14ac:dyDescent="0.2">
      <c r="D388" s="259"/>
      <c r="E388" s="259"/>
      <c r="F388" s="259"/>
      <c r="G388" s="258"/>
      <c r="H388" s="257"/>
      <c r="I388" s="257"/>
      <c r="J388" s="257"/>
    </row>
    <row r="389" spans="4:10" x14ac:dyDescent="0.2">
      <c r="D389" s="259"/>
      <c r="E389" s="259"/>
      <c r="F389" s="259"/>
      <c r="G389" s="258"/>
      <c r="H389" s="257"/>
      <c r="I389" s="257"/>
      <c r="J389" s="257"/>
    </row>
    <row r="390" spans="4:10" x14ac:dyDescent="0.2">
      <c r="D390" s="259"/>
      <c r="E390" s="259"/>
      <c r="F390" s="259"/>
      <c r="G390" s="258"/>
      <c r="H390" s="257"/>
      <c r="I390" s="257"/>
      <c r="J390" s="257"/>
    </row>
    <row r="391" spans="4:10" x14ac:dyDescent="0.2">
      <c r="D391" s="259"/>
      <c r="E391" s="259"/>
      <c r="F391" s="259"/>
      <c r="G391" s="258"/>
      <c r="H391" s="257"/>
      <c r="I391" s="257"/>
      <c r="J391" s="257"/>
    </row>
    <row r="392" spans="4:10" x14ac:dyDescent="0.2">
      <c r="D392" s="259"/>
      <c r="E392" s="259"/>
      <c r="F392" s="259"/>
      <c r="G392" s="258"/>
      <c r="H392" s="257"/>
      <c r="I392" s="257"/>
      <c r="J392" s="257"/>
    </row>
    <row r="393" spans="4:10" x14ac:dyDescent="0.2">
      <c r="D393" s="259"/>
      <c r="E393" s="259"/>
      <c r="F393" s="259"/>
      <c r="G393" s="258"/>
      <c r="H393" s="257"/>
      <c r="I393" s="257"/>
      <c r="J393" s="257"/>
    </row>
    <row r="394" spans="4:10" x14ac:dyDescent="0.2">
      <c r="D394" s="259"/>
      <c r="E394" s="259"/>
      <c r="F394" s="259"/>
      <c r="G394" s="258"/>
      <c r="H394" s="257"/>
      <c r="I394" s="257"/>
      <c r="J394" s="257"/>
    </row>
    <row r="395" spans="4:10" x14ac:dyDescent="0.2">
      <c r="D395" s="259"/>
      <c r="E395" s="259"/>
      <c r="F395" s="259"/>
      <c r="G395" s="258"/>
      <c r="H395" s="257"/>
      <c r="I395" s="257"/>
      <c r="J395" s="257"/>
    </row>
    <row r="396" spans="4:10" x14ac:dyDescent="0.2">
      <c r="D396" s="259"/>
      <c r="E396" s="259"/>
      <c r="F396" s="259"/>
      <c r="G396" s="258"/>
      <c r="H396" s="257"/>
      <c r="I396" s="257"/>
      <c r="J396" s="257"/>
    </row>
    <row r="397" spans="4:10" x14ac:dyDescent="0.2">
      <c r="D397" s="259"/>
      <c r="E397" s="259"/>
      <c r="F397" s="259"/>
      <c r="G397" s="258"/>
      <c r="H397" s="257"/>
      <c r="I397" s="257"/>
      <c r="J397" s="257"/>
    </row>
    <row r="398" spans="4:10" x14ac:dyDescent="0.2">
      <c r="D398" s="259"/>
      <c r="E398" s="259"/>
      <c r="F398" s="259"/>
      <c r="G398" s="258"/>
      <c r="H398" s="257"/>
      <c r="I398" s="257"/>
      <c r="J398" s="257"/>
    </row>
  </sheetData>
  <mergeCells count="2">
    <mergeCell ref="C6:F6"/>
    <mergeCell ref="M37:O37"/>
  </mergeCells>
  <pageMargins left="0.75" right="0.75" top="1" bottom="1" header="0.5" footer="0.5"/>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73BDC-2169-44F0-9F1D-B8EFEB5236CD}">
  <sheetPr codeName="Sheet12"/>
  <dimension ref="A1:DB508"/>
  <sheetViews>
    <sheetView showGridLines="0" topLeftCell="B1" zoomScale="85" zoomScaleNormal="85" workbookViewId="0">
      <selection activeCell="B1" sqref="B1"/>
    </sheetView>
  </sheetViews>
  <sheetFormatPr defaultColWidth="9.109375" defaultRowHeight="14.4" x14ac:dyDescent="0.3"/>
  <cols>
    <col min="1" max="1" width="9.109375" hidden="1" customWidth="1"/>
    <col min="2" max="2" width="11.88671875" bestFit="1" customWidth="1"/>
    <col min="3" max="3" width="15" customWidth="1"/>
    <col min="4" max="4" width="14.109375" customWidth="1"/>
    <col min="5" max="5" width="13.6640625" customWidth="1"/>
    <col min="6" max="6" width="13.88671875" customWidth="1"/>
    <col min="7" max="7" width="4.44140625" customWidth="1"/>
    <col min="9" max="9" width="17.33203125" bestFit="1" customWidth="1"/>
    <col min="10" max="10" width="15.44140625" bestFit="1" customWidth="1"/>
    <col min="11" max="11" width="17.88671875" customWidth="1"/>
    <col min="12" max="12" width="20.33203125" customWidth="1"/>
    <col min="13" max="13" width="2.6640625" customWidth="1"/>
    <col min="14" max="14" width="14.88671875" customWidth="1"/>
    <col min="15" max="15" width="17.33203125" bestFit="1" customWidth="1"/>
    <col min="16" max="16" width="15.44140625" bestFit="1" customWidth="1"/>
    <col min="17" max="17" width="17.88671875" customWidth="1"/>
    <col min="18" max="18" width="14.5546875" customWidth="1"/>
  </cols>
  <sheetData>
    <row r="1" spans="1:106" x14ac:dyDescent="0.3">
      <c r="G1" s="2"/>
      <c r="H1" s="283">
        <f>(LARGE(B8:B489,1))</f>
        <v>45444</v>
      </c>
      <c r="I1" s="284"/>
      <c r="J1" s="2"/>
      <c r="K1" s="2"/>
      <c r="L1" s="2"/>
    </row>
    <row r="2" spans="1:106" x14ac:dyDescent="0.3">
      <c r="G2" s="2"/>
      <c r="H2" s="285">
        <f>MATCH(H1,B8:B489,0)+8</f>
        <v>128</v>
      </c>
      <c r="I2" s="2"/>
      <c r="J2" s="2"/>
      <c r="K2" s="2"/>
      <c r="L2" s="2"/>
    </row>
    <row r="3" spans="1:106" x14ac:dyDescent="0.3">
      <c r="G3" s="2"/>
      <c r="H3" s="285" t="str">
        <f ca="1">IF(MONTH(INDIRECT(CONCATENATE("B",H2)))=12, "Calendar Year", "Financial year")</f>
        <v>Financial year</v>
      </c>
      <c r="I3" s="2"/>
      <c r="J3" s="2"/>
      <c r="K3" s="2"/>
      <c r="L3" s="2"/>
    </row>
    <row r="4" spans="1:106" x14ac:dyDescent="0.3">
      <c r="G4" s="2"/>
      <c r="H4" s="286"/>
      <c r="I4" s="2"/>
      <c r="J4" s="2"/>
      <c r="K4" s="2"/>
      <c r="L4" s="2"/>
    </row>
    <row r="5" spans="1:106" x14ac:dyDescent="0.3">
      <c r="A5" s="14"/>
      <c r="C5" s="14"/>
      <c r="D5" s="14"/>
      <c r="E5" s="14"/>
      <c r="F5" s="14"/>
      <c r="G5" s="287"/>
      <c r="H5" s="287"/>
      <c r="I5" s="287"/>
      <c r="J5" s="287"/>
      <c r="K5" s="287"/>
      <c r="L5" s="287"/>
      <c r="M5" s="14"/>
      <c r="N5" s="14"/>
      <c r="O5" s="14"/>
      <c r="P5" s="14"/>
      <c r="Q5" s="14"/>
      <c r="R5" s="14"/>
      <c r="S5" s="14"/>
      <c r="T5" s="14"/>
      <c r="U5" s="14"/>
      <c r="V5" s="14"/>
      <c r="W5" s="14"/>
      <c r="X5" s="14"/>
      <c r="Y5" s="14"/>
      <c r="Z5" s="14"/>
      <c r="AA5" s="14"/>
      <c r="AB5" s="14"/>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c r="BV5" s="52"/>
      <c r="BW5" s="52"/>
      <c r="BX5" s="52"/>
      <c r="BY5" s="52"/>
      <c r="BZ5" s="52"/>
      <c r="CA5" s="52"/>
      <c r="CB5" s="52"/>
      <c r="CC5" s="62"/>
      <c r="CD5" s="52"/>
      <c r="CE5" s="52"/>
      <c r="CF5" s="52"/>
      <c r="CG5" s="52"/>
      <c r="CH5" s="52"/>
      <c r="CI5" s="52"/>
      <c r="CJ5" s="52"/>
      <c r="CK5" s="52"/>
      <c r="CL5" s="52"/>
      <c r="CM5" s="52"/>
      <c r="CN5" s="52"/>
      <c r="CO5" s="52"/>
      <c r="CP5" s="52"/>
      <c r="CQ5" s="52"/>
      <c r="CR5" s="52"/>
      <c r="CS5" s="52"/>
      <c r="CT5" s="52"/>
      <c r="CU5" s="52"/>
      <c r="CV5" s="52"/>
      <c r="CW5" s="52"/>
      <c r="CX5" s="52"/>
      <c r="CY5" s="52"/>
      <c r="CZ5" s="52"/>
      <c r="DA5" s="52"/>
      <c r="DB5" s="52"/>
    </row>
    <row r="6" spans="1:106" ht="15" thickBot="1" x14ac:dyDescent="0.35">
      <c r="B6" s="647" t="s">
        <v>17</v>
      </c>
      <c r="C6" s="647"/>
      <c r="D6" s="647"/>
      <c r="E6" s="647"/>
      <c r="F6" s="647"/>
      <c r="H6" s="647" t="s">
        <v>111</v>
      </c>
      <c r="I6" s="647"/>
      <c r="J6" s="647"/>
      <c r="K6" s="647"/>
      <c r="L6" s="647"/>
      <c r="M6" s="172"/>
      <c r="N6" s="647" t="s">
        <v>72</v>
      </c>
      <c r="O6" s="650"/>
      <c r="P6" s="647"/>
      <c r="Q6" s="647"/>
      <c r="R6" s="647"/>
    </row>
    <row r="7" spans="1:106" ht="43.2" x14ac:dyDescent="0.3">
      <c r="B7" s="173" t="s">
        <v>112</v>
      </c>
      <c r="C7" s="211" t="s">
        <v>683</v>
      </c>
      <c r="D7" s="174" t="s">
        <v>686</v>
      </c>
      <c r="E7" s="174" t="s">
        <v>75</v>
      </c>
      <c r="F7" s="176" t="s">
        <v>98</v>
      </c>
      <c r="G7" s="15"/>
      <c r="H7" s="177" t="s">
        <v>73</v>
      </c>
      <c r="I7" s="174" t="s">
        <v>683</v>
      </c>
      <c r="J7" s="174" t="s">
        <v>686</v>
      </c>
      <c r="K7" s="174" t="s">
        <v>75</v>
      </c>
      <c r="L7" s="176" t="s">
        <v>98</v>
      </c>
      <c r="M7" s="178"/>
      <c r="N7" s="177" t="s">
        <v>73</v>
      </c>
      <c r="O7" s="174" t="s">
        <v>683</v>
      </c>
      <c r="P7" s="174" t="s">
        <v>686</v>
      </c>
      <c r="Q7" s="174" t="s">
        <v>75</v>
      </c>
      <c r="R7" s="176" t="s">
        <v>98</v>
      </c>
      <c r="S7" s="15"/>
      <c r="T7" s="15"/>
      <c r="U7" s="15"/>
      <c r="V7" s="15"/>
      <c r="W7" s="15"/>
      <c r="X7" s="15"/>
      <c r="Y7" s="15"/>
      <c r="Z7" s="15"/>
      <c r="AA7" s="15"/>
      <c r="AB7" s="15"/>
      <c r="AC7" s="15"/>
      <c r="AD7" s="15"/>
      <c r="AE7" s="15"/>
      <c r="AF7" s="15"/>
    </row>
    <row r="8" spans="1:106" x14ac:dyDescent="0.3">
      <c r="A8">
        <f t="shared" ref="A8:A71" si="0">YEAR(B8)</f>
        <v>1994</v>
      </c>
      <c r="B8" s="179">
        <v>34578</v>
      </c>
      <c r="C8" s="18">
        <v>99.1</v>
      </c>
      <c r="D8" s="19">
        <f t="shared" ref="D8:D71" si="1">E8-C8</f>
        <v>81.400000000000006</v>
      </c>
      <c r="E8" s="18">
        <v>180.5</v>
      </c>
      <c r="F8" s="180">
        <f t="shared" ref="F8:F71" si="2">C8/E8</f>
        <v>0.54903047091412738</v>
      </c>
      <c r="H8" s="189">
        <f t="shared" ref="H8:H15" si="3">H9-1</f>
        <v>2014</v>
      </c>
      <c r="I8" s="42">
        <f t="shared" ref="I8:I16" si="4">SUMIF($A$8:$A$508,$H8,C$8:C$510)</f>
        <v>2757.9</v>
      </c>
      <c r="J8" s="41">
        <f t="shared" ref="J8:J17" si="5">K8-I8</f>
        <v>1980.9999999999995</v>
      </c>
      <c r="K8" s="42">
        <f t="shared" ref="K8:K17" si="6">SUMIF($A$8:$A$508,$H8,E$8:E$510)</f>
        <v>4738.8999999999996</v>
      </c>
      <c r="L8" s="288">
        <f t="shared" ref="L8:L17" si="7">I8/K8</f>
        <v>0.5819704994830025</v>
      </c>
      <c r="M8" s="126"/>
      <c r="N8" s="189" t="str">
        <f t="shared" ref="N8:N15" si="8">LEFT(N9,4)-1 &amp; "-" &amp; RIGHT(N9,2)-1</f>
        <v>2014-15</v>
      </c>
      <c r="O8" s="42">
        <f t="shared" ref="O8:Q17" si="9">SUMIFS(C:C, $B:$B, "&gt;=" &amp; DATE(LEFT($N8, 4), 7, 1), $B:$B, "&lt;" &amp; DATE(LEFT($N8, 4)+1, 7, 1))</f>
        <v>2068.9</v>
      </c>
      <c r="P8" s="41">
        <f t="shared" ref="P8:P17" si="10">Q8-O8</f>
        <v>1722.4999999999995</v>
      </c>
      <c r="Q8" s="42">
        <f t="shared" si="9"/>
        <v>3791.3999999999996</v>
      </c>
      <c r="R8" s="288">
        <f t="shared" ref="R8:R16" si="11">O8/Q8</f>
        <v>0.54568233370259012</v>
      </c>
      <c r="AA8" s="15"/>
      <c r="AB8" s="15"/>
      <c r="AC8" s="15"/>
      <c r="AD8" s="15"/>
    </row>
    <row r="9" spans="1:106" x14ac:dyDescent="0.3">
      <c r="A9">
        <f t="shared" si="0"/>
        <v>1994</v>
      </c>
      <c r="B9" s="179">
        <v>34669</v>
      </c>
      <c r="C9" s="186">
        <v>91</v>
      </c>
      <c r="D9" s="187">
        <f t="shared" si="1"/>
        <v>86.4</v>
      </c>
      <c r="E9" s="186">
        <v>177.4</v>
      </c>
      <c r="F9" s="188">
        <f t="shared" si="2"/>
        <v>0.51296505073280718</v>
      </c>
      <c r="H9" s="189">
        <f t="shared" si="3"/>
        <v>2015</v>
      </c>
      <c r="I9" s="289">
        <f t="shared" si="4"/>
        <v>1617.1</v>
      </c>
      <c r="J9" s="290">
        <f t="shared" si="5"/>
        <v>1106.2000000000003</v>
      </c>
      <c r="K9" s="289">
        <f t="shared" si="6"/>
        <v>2723.3</v>
      </c>
      <c r="L9" s="291">
        <f t="shared" si="7"/>
        <v>0.5938016377189439</v>
      </c>
      <c r="M9" s="126"/>
      <c r="N9" s="189" t="str">
        <f t="shared" si="8"/>
        <v>2015-16</v>
      </c>
      <c r="O9" s="289">
        <f>SUMIFS(C:C, $B:$B, "&gt;=" &amp; DATE(LEFT($N9, 4), 7, 1), $B:$B, "&lt;" &amp; DATE(LEFT($N9, 4)+1, 7, 1))</f>
        <v>1297.4000000000001</v>
      </c>
      <c r="P9" s="290">
        <f t="shared" si="10"/>
        <v>478.80000000000018</v>
      </c>
      <c r="Q9" s="289">
        <f t="shared" si="9"/>
        <v>1776.2000000000003</v>
      </c>
      <c r="R9" s="291">
        <f t="shared" si="11"/>
        <v>0.73043576173854285</v>
      </c>
      <c r="AA9" s="15"/>
      <c r="AB9" s="15"/>
      <c r="AC9" s="15"/>
      <c r="AD9" s="15"/>
    </row>
    <row r="10" spans="1:106" x14ac:dyDescent="0.3">
      <c r="A10">
        <f t="shared" si="0"/>
        <v>1995</v>
      </c>
      <c r="B10" s="179">
        <v>34759</v>
      </c>
      <c r="C10" s="18">
        <v>65.599999999999994</v>
      </c>
      <c r="D10" s="19">
        <f t="shared" si="1"/>
        <v>53.800000000000011</v>
      </c>
      <c r="E10" s="18">
        <v>119.4</v>
      </c>
      <c r="F10" s="180">
        <f t="shared" si="2"/>
        <v>0.54941373534338356</v>
      </c>
      <c r="H10" s="189">
        <f t="shared" si="3"/>
        <v>2016</v>
      </c>
      <c r="I10" s="42">
        <f t="shared" si="4"/>
        <v>995.99999999999989</v>
      </c>
      <c r="J10" s="41">
        <f t="shared" si="5"/>
        <v>405.70000000000016</v>
      </c>
      <c r="K10" s="42">
        <f t="shared" si="6"/>
        <v>1401.7</v>
      </c>
      <c r="L10" s="288">
        <f t="shared" si="7"/>
        <v>0.71056574159948627</v>
      </c>
      <c r="M10" s="126"/>
      <c r="N10" s="189" t="str">
        <f t="shared" si="8"/>
        <v>2016-17</v>
      </c>
      <c r="O10" s="42">
        <f t="shared" ref="O10:O17" si="12">SUMIFS(C:C, $B:$B, "&gt;=" &amp; DATE(LEFT($N10, 4), 7, 1), $B:$B, "&lt;" &amp; DATE(LEFT($N10, 4)+1, 7, 1))</f>
        <v>651.5</v>
      </c>
      <c r="P10" s="41">
        <f t="shared" si="10"/>
        <v>724.5</v>
      </c>
      <c r="Q10" s="42">
        <f t="shared" si="9"/>
        <v>1376</v>
      </c>
      <c r="R10" s="288">
        <f t="shared" si="11"/>
        <v>0.47347383720930231</v>
      </c>
      <c r="AA10" s="15"/>
      <c r="AB10" s="15"/>
      <c r="AC10" s="15"/>
      <c r="AD10" s="15"/>
    </row>
    <row r="11" spans="1:106" x14ac:dyDescent="0.3">
      <c r="A11">
        <f t="shared" si="0"/>
        <v>1995</v>
      </c>
      <c r="B11" s="179">
        <v>34851</v>
      </c>
      <c r="C11" s="186">
        <v>89.2</v>
      </c>
      <c r="D11" s="187">
        <f t="shared" si="1"/>
        <v>106.2</v>
      </c>
      <c r="E11" s="186">
        <v>195.4</v>
      </c>
      <c r="F11" s="188">
        <f t="shared" si="2"/>
        <v>0.45649948822927328</v>
      </c>
      <c r="H11" s="189">
        <f t="shared" si="3"/>
        <v>2017</v>
      </c>
      <c r="I11" s="289">
        <f t="shared" si="4"/>
        <v>492.5</v>
      </c>
      <c r="J11" s="290">
        <f t="shared" si="5"/>
        <v>721.7</v>
      </c>
      <c r="K11" s="289">
        <f t="shared" si="6"/>
        <v>1214.2</v>
      </c>
      <c r="L11" s="291">
        <f t="shared" si="7"/>
        <v>0.40561686707296984</v>
      </c>
      <c r="M11" s="126"/>
      <c r="N11" s="189" t="str">
        <f t="shared" si="8"/>
        <v>2017-18</v>
      </c>
      <c r="O11" s="289">
        <f t="shared" si="12"/>
        <v>562.29999999999995</v>
      </c>
      <c r="P11" s="290">
        <f t="shared" si="10"/>
        <v>465.70000000000005</v>
      </c>
      <c r="Q11" s="289">
        <f t="shared" si="9"/>
        <v>1028</v>
      </c>
      <c r="R11" s="291">
        <f t="shared" si="11"/>
        <v>0.54698443579766531</v>
      </c>
      <c r="AA11" s="15"/>
      <c r="AB11" s="15"/>
      <c r="AC11" s="15"/>
      <c r="AD11" s="15"/>
    </row>
    <row r="12" spans="1:106" x14ac:dyDescent="0.3">
      <c r="A12">
        <f t="shared" si="0"/>
        <v>1995</v>
      </c>
      <c r="B12" s="179">
        <v>34943</v>
      </c>
      <c r="C12" s="18">
        <v>88.5</v>
      </c>
      <c r="D12" s="19">
        <f t="shared" si="1"/>
        <v>104.6</v>
      </c>
      <c r="E12" s="18">
        <v>193.1</v>
      </c>
      <c r="F12" s="180">
        <f t="shared" si="2"/>
        <v>0.45831175556706372</v>
      </c>
      <c r="H12" s="189">
        <f t="shared" si="3"/>
        <v>2018</v>
      </c>
      <c r="I12" s="42">
        <f t="shared" si="4"/>
        <v>672.30000000000007</v>
      </c>
      <c r="J12" s="41">
        <f t="shared" si="5"/>
        <v>487.39999999999975</v>
      </c>
      <c r="K12" s="42">
        <f t="shared" si="6"/>
        <v>1159.6999999999998</v>
      </c>
      <c r="L12" s="288">
        <f t="shared" si="7"/>
        <v>0.57971889281710798</v>
      </c>
      <c r="M12" s="126"/>
      <c r="N12" s="189" t="str">
        <f t="shared" si="8"/>
        <v>2018-19</v>
      </c>
      <c r="O12" s="42">
        <f t="shared" si="12"/>
        <v>734.3</v>
      </c>
      <c r="P12" s="41">
        <f t="shared" si="10"/>
        <v>526.20000000000005</v>
      </c>
      <c r="Q12" s="42">
        <f t="shared" si="9"/>
        <v>1260.5</v>
      </c>
      <c r="R12" s="288">
        <f t="shared" si="11"/>
        <v>0.58254660848869488</v>
      </c>
      <c r="AA12" s="15"/>
      <c r="AB12" s="15"/>
      <c r="AC12" s="15"/>
      <c r="AD12" s="15"/>
    </row>
    <row r="13" spans="1:106" x14ac:dyDescent="0.3">
      <c r="A13">
        <f t="shared" si="0"/>
        <v>1995</v>
      </c>
      <c r="B13" s="179">
        <v>35034</v>
      </c>
      <c r="C13" s="186">
        <v>75.7</v>
      </c>
      <c r="D13" s="187">
        <f t="shared" si="1"/>
        <v>115.89999999999999</v>
      </c>
      <c r="E13" s="186">
        <v>191.6</v>
      </c>
      <c r="F13" s="188">
        <f t="shared" si="2"/>
        <v>0.39509394572025053</v>
      </c>
      <c r="H13" s="189">
        <f t="shared" si="3"/>
        <v>2019</v>
      </c>
      <c r="I13" s="289">
        <f t="shared" si="4"/>
        <v>749.30000000000007</v>
      </c>
      <c r="J13" s="290">
        <f t="shared" si="5"/>
        <v>635.4</v>
      </c>
      <c r="K13" s="289">
        <f t="shared" si="6"/>
        <v>1384.7</v>
      </c>
      <c r="L13" s="291">
        <f t="shared" si="7"/>
        <v>0.54112804217520039</v>
      </c>
      <c r="M13" s="126"/>
      <c r="N13" s="189" t="str">
        <f t="shared" si="8"/>
        <v>2019-20</v>
      </c>
      <c r="O13" s="289">
        <f t="shared" si="12"/>
        <v>595.5</v>
      </c>
      <c r="P13" s="290">
        <f t="shared" si="10"/>
        <v>667.30000000000018</v>
      </c>
      <c r="Q13" s="289">
        <f t="shared" si="9"/>
        <v>1262.8000000000002</v>
      </c>
      <c r="R13" s="291">
        <f t="shared" si="11"/>
        <v>0.47157111181501421</v>
      </c>
      <c r="AA13" s="15"/>
      <c r="AB13" s="15"/>
      <c r="AC13" s="15"/>
      <c r="AD13" s="15"/>
    </row>
    <row r="14" spans="1:106" x14ac:dyDescent="0.3">
      <c r="A14">
        <f t="shared" si="0"/>
        <v>1996</v>
      </c>
      <c r="B14" s="179">
        <v>35125</v>
      </c>
      <c r="C14" s="18">
        <v>74.599999999999994</v>
      </c>
      <c r="D14" s="19">
        <f t="shared" si="1"/>
        <v>64.400000000000006</v>
      </c>
      <c r="E14" s="18">
        <v>139</v>
      </c>
      <c r="F14" s="180">
        <f t="shared" si="2"/>
        <v>0.53669064748201434</v>
      </c>
      <c r="H14" s="189">
        <f t="shared" si="3"/>
        <v>2020</v>
      </c>
      <c r="I14" s="42">
        <f t="shared" si="4"/>
        <v>416.70000000000005</v>
      </c>
      <c r="J14" s="41">
        <f t="shared" si="5"/>
        <v>577.99999999999989</v>
      </c>
      <c r="K14" s="42">
        <f t="shared" si="6"/>
        <v>994.69999999999993</v>
      </c>
      <c r="L14" s="288">
        <f t="shared" si="7"/>
        <v>0.41892027747059424</v>
      </c>
      <c r="M14" s="126"/>
      <c r="N14" s="189" t="str">
        <f t="shared" si="8"/>
        <v>2020-21</v>
      </c>
      <c r="O14" s="42">
        <f t="shared" si="12"/>
        <v>441.90000000000003</v>
      </c>
      <c r="P14" s="41">
        <f t="shared" si="10"/>
        <v>557.70000000000005</v>
      </c>
      <c r="Q14" s="42">
        <f t="shared" si="9"/>
        <v>999.6</v>
      </c>
      <c r="R14" s="288">
        <f t="shared" si="11"/>
        <v>0.44207683073229292</v>
      </c>
      <c r="AA14" s="15"/>
      <c r="AB14" s="15"/>
      <c r="AC14" s="15"/>
      <c r="AD14" s="15"/>
    </row>
    <row r="15" spans="1:106" x14ac:dyDescent="0.3">
      <c r="A15">
        <f t="shared" si="0"/>
        <v>1996</v>
      </c>
      <c r="B15" s="179">
        <v>35217</v>
      </c>
      <c r="C15" s="186">
        <v>80.3</v>
      </c>
      <c r="D15" s="187">
        <f t="shared" si="1"/>
        <v>84.600000000000009</v>
      </c>
      <c r="E15" s="186">
        <v>164.9</v>
      </c>
      <c r="F15" s="188">
        <f t="shared" si="2"/>
        <v>0.48696179502728926</v>
      </c>
      <c r="H15" s="189">
        <f t="shared" si="3"/>
        <v>2021</v>
      </c>
      <c r="I15" s="289">
        <f t="shared" si="4"/>
        <v>488.8</v>
      </c>
      <c r="J15" s="290">
        <f t="shared" si="5"/>
        <v>642.29999999999995</v>
      </c>
      <c r="K15" s="289">
        <f t="shared" si="6"/>
        <v>1131.0999999999999</v>
      </c>
      <c r="L15" s="291">
        <f t="shared" si="7"/>
        <v>0.43214569887719922</v>
      </c>
      <c r="M15" s="126"/>
      <c r="N15" s="189" t="str">
        <f t="shared" si="8"/>
        <v>2021-22</v>
      </c>
      <c r="O15" s="289">
        <f t="shared" si="12"/>
        <v>567</v>
      </c>
      <c r="P15" s="290">
        <f t="shared" si="10"/>
        <v>581</v>
      </c>
      <c r="Q15" s="289">
        <f t="shared" si="9"/>
        <v>1148</v>
      </c>
      <c r="R15" s="291">
        <f t="shared" si="11"/>
        <v>0.49390243902439024</v>
      </c>
      <c r="AA15" s="15"/>
      <c r="AB15" s="15"/>
      <c r="AC15" s="15"/>
      <c r="AD15" s="15"/>
    </row>
    <row r="16" spans="1:106" x14ac:dyDescent="0.3">
      <c r="A16">
        <f t="shared" si="0"/>
        <v>1996</v>
      </c>
      <c r="B16" s="179">
        <v>35309</v>
      </c>
      <c r="C16" s="18">
        <v>130.69999999999999</v>
      </c>
      <c r="D16" s="19">
        <f t="shared" si="1"/>
        <v>72.100000000000023</v>
      </c>
      <c r="E16" s="18">
        <v>202.8</v>
      </c>
      <c r="F16" s="180">
        <f t="shared" si="2"/>
        <v>0.64447731755424054</v>
      </c>
      <c r="H16" s="189">
        <f>H17-1</f>
        <v>2022</v>
      </c>
      <c r="I16" s="42">
        <f t="shared" si="4"/>
        <v>445.4</v>
      </c>
      <c r="J16" s="41">
        <f t="shared" si="5"/>
        <v>525.40000000000009</v>
      </c>
      <c r="K16" s="42">
        <f t="shared" si="6"/>
        <v>970.80000000000007</v>
      </c>
      <c r="L16" s="288">
        <f t="shared" si="7"/>
        <v>0.45879686856201068</v>
      </c>
      <c r="M16" s="126"/>
      <c r="N16" s="189" t="str">
        <f>LEFT(N17,4)-1 &amp; "-" &amp; RIGHT(N17,2)-1</f>
        <v>2022-23</v>
      </c>
      <c r="O16" s="42">
        <f t="shared" si="12"/>
        <v>354.29999999999995</v>
      </c>
      <c r="P16" s="41">
        <f t="shared" si="10"/>
        <v>554.6</v>
      </c>
      <c r="Q16" s="42">
        <f t="shared" si="9"/>
        <v>908.9</v>
      </c>
      <c r="R16" s="288">
        <f t="shared" si="11"/>
        <v>0.38981186049070299</v>
      </c>
      <c r="AA16" s="15"/>
      <c r="AB16" s="15"/>
      <c r="AC16" s="15"/>
      <c r="AD16" s="15"/>
    </row>
    <row r="17" spans="1:30" ht="15" thickBot="1" x14ac:dyDescent="0.35">
      <c r="A17">
        <f t="shared" si="0"/>
        <v>1996</v>
      </c>
      <c r="B17" s="179">
        <v>35400</v>
      </c>
      <c r="C17" s="186">
        <v>132.6</v>
      </c>
      <c r="D17" s="187">
        <f t="shared" si="1"/>
        <v>108.6</v>
      </c>
      <c r="E17" s="186">
        <v>241.2</v>
      </c>
      <c r="F17" s="188">
        <f t="shared" si="2"/>
        <v>0.54975124378109452</v>
      </c>
      <c r="H17" s="195">
        <f>YEAR(LARGE(B:B, 4))</f>
        <v>2023</v>
      </c>
      <c r="I17" s="292">
        <f>SUMIF($A$8:$A$508,$H17,C$8:C$510)</f>
        <v>481.40000000000003</v>
      </c>
      <c r="J17" s="293">
        <f t="shared" si="5"/>
        <v>579.5</v>
      </c>
      <c r="K17" s="292">
        <f t="shared" si="6"/>
        <v>1060.9000000000001</v>
      </c>
      <c r="L17" s="294">
        <f t="shared" si="7"/>
        <v>0.45376567065698936</v>
      </c>
      <c r="M17" s="126"/>
      <c r="N17" s="195" t="str">
        <f>IF(MONTH(LARGE(B:B,4))&gt;=7, YEAR(LARGE(B:B,4)) &amp; "-" &amp; RIGHT(YEAR(LARGE(B:B,4))+1, 2),
                                                               YEAR(LARGE(B:B,4))-1 &amp; "-" &amp; RIGHT(YEAR(LARGE(B:B,4)), 2)
)</f>
        <v>2023-24</v>
      </c>
      <c r="O17" s="292">
        <f t="shared" si="12"/>
        <v>568.70000000000005</v>
      </c>
      <c r="P17" s="293">
        <f t="shared" si="10"/>
        <v>685.2</v>
      </c>
      <c r="Q17" s="292">
        <f t="shared" si="9"/>
        <v>1253.9000000000001</v>
      </c>
      <c r="R17" s="294">
        <f>O17/Q17</f>
        <v>0.45354493978786187</v>
      </c>
      <c r="AA17" s="15"/>
      <c r="AB17" s="15"/>
      <c r="AC17" s="15"/>
      <c r="AD17" s="15"/>
    </row>
    <row r="18" spans="1:30" x14ac:dyDescent="0.3">
      <c r="A18">
        <f t="shared" si="0"/>
        <v>1997</v>
      </c>
      <c r="B18" s="179">
        <v>35490</v>
      </c>
      <c r="C18" s="18">
        <v>78.599999999999994</v>
      </c>
      <c r="D18" s="19">
        <f t="shared" si="1"/>
        <v>83.6</v>
      </c>
      <c r="E18" s="18">
        <v>162.19999999999999</v>
      </c>
      <c r="F18" s="180">
        <f t="shared" si="2"/>
        <v>0.48458692971639949</v>
      </c>
    </row>
    <row r="19" spans="1:30" x14ac:dyDescent="0.3">
      <c r="A19">
        <f t="shared" si="0"/>
        <v>1997</v>
      </c>
      <c r="B19" s="179">
        <v>35582</v>
      </c>
      <c r="C19" s="186">
        <v>97.2</v>
      </c>
      <c r="D19" s="187">
        <f t="shared" si="1"/>
        <v>105.2</v>
      </c>
      <c r="E19" s="186">
        <v>202.4</v>
      </c>
      <c r="F19" s="188">
        <f t="shared" si="2"/>
        <v>0.48023715415019763</v>
      </c>
    </row>
    <row r="20" spans="1:30" x14ac:dyDescent="0.3">
      <c r="A20">
        <f t="shared" si="0"/>
        <v>1997</v>
      </c>
      <c r="B20" s="179">
        <v>35674</v>
      </c>
      <c r="C20" s="18">
        <v>46.8</v>
      </c>
      <c r="D20" s="19">
        <f t="shared" si="1"/>
        <v>77.400000000000006</v>
      </c>
      <c r="E20" s="18">
        <v>124.2</v>
      </c>
      <c r="F20" s="180">
        <f t="shared" si="2"/>
        <v>0.3768115942028985</v>
      </c>
    </row>
    <row r="21" spans="1:30" x14ac:dyDescent="0.3">
      <c r="A21">
        <f t="shared" si="0"/>
        <v>1997</v>
      </c>
      <c r="B21" s="179">
        <v>35765</v>
      </c>
      <c r="C21" s="186">
        <v>106.9</v>
      </c>
      <c r="D21" s="187">
        <f t="shared" si="1"/>
        <v>108.79999999999998</v>
      </c>
      <c r="E21" s="186">
        <v>215.7</v>
      </c>
      <c r="F21" s="188">
        <f t="shared" si="2"/>
        <v>0.49559573481687536</v>
      </c>
    </row>
    <row r="22" spans="1:30" x14ac:dyDescent="0.3">
      <c r="A22">
        <f t="shared" si="0"/>
        <v>1998</v>
      </c>
      <c r="B22" s="179">
        <v>35855</v>
      </c>
      <c r="C22" s="18">
        <v>165</v>
      </c>
      <c r="D22" s="19">
        <f t="shared" si="1"/>
        <v>91</v>
      </c>
      <c r="E22" s="18">
        <v>256</v>
      </c>
      <c r="F22" s="180">
        <f t="shared" si="2"/>
        <v>0.64453125</v>
      </c>
    </row>
    <row r="23" spans="1:30" x14ac:dyDescent="0.3">
      <c r="A23">
        <f t="shared" si="0"/>
        <v>1998</v>
      </c>
      <c r="B23" s="179">
        <v>35947</v>
      </c>
      <c r="C23" s="186">
        <v>145.19999999999999</v>
      </c>
      <c r="D23" s="187">
        <f t="shared" si="1"/>
        <v>177.10000000000002</v>
      </c>
      <c r="E23" s="186">
        <v>322.3</v>
      </c>
      <c r="F23" s="188">
        <f t="shared" si="2"/>
        <v>0.4505119453924914</v>
      </c>
    </row>
    <row r="24" spans="1:30" x14ac:dyDescent="0.3">
      <c r="A24">
        <f t="shared" si="0"/>
        <v>1998</v>
      </c>
      <c r="B24" s="179">
        <v>36039</v>
      </c>
      <c r="C24" s="18">
        <v>90.8</v>
      </c>
      <c r="D24" s="19">
        <f t="shared" si="1"/>
        <v>94.899999999999991</v>
      </c>
      <c r="E24" s="18">
        <v>185.7</v>
      </c>
      <c r="F24" s="180">
        <f t="shared" si="2"/>
        <v>0.48896068928379105</v>
      </c>
    </row>
    <row r="25" spans="1:30" x14ac:dyDescent="0.3">
      <c r="A25">
        <f t="shared" si="0"/>
        <v>1998</v>
      </c>
      <c r="B25" s="179">
        <v>36130</v>
      </c>
      <c r="C25" s="186">
        <v>148.5</v>
      </c>
      <c r="D25" s="187">
        <f t="shared" si="1"/>
        <v>100.30000000000001</v>
      </c>
      <c r="E25" s="186">
        <v>248.8</v>
      </c>
      <c r="F25" s="188">
        <f t="shared" si="2"/>
        <v>0.59686495176848875</v>
      </c>
    </row>
    <row r="26" spans="1:30" x14ac:dyDescent="0.3">
      <c r="A26">
        <f t="shared" si="0"/>
        <v>1999</v>
      </c>
      <c r="B26" s="179">
        <v>36220</v>
      </c>
      <c r="C26" s="18">
        <v>164.1</v>
      </c>
      <c r="D26" s="19">
        <f t="shared" si="1"/>
        <v>62.300000000000011</v>
      </c>
      <c r="E26" s="18">
        <v>226.4</v>
      </c>
      <c r="F26" s="180">
        <f t="shared" si="2"/>
        <v>0.72482332155477025</v>
      </c>
    </row>
    <row r="27" spans="1:30" x14ac:dyDescent="0.3">
      <c r="A27">
        <f t="shared" si="0"/>
        <v>1999</v>
      </c>
      <c r="B27" s="179">
        <v>36312</v>
      </c>
      <c r="C27" s="186">
        <v>127.2</v>
      </c>
      <c r="D27" s="187">
        <f t="shared" si="1"/>
        <v>63.600000000000009</v>
      </c>
      <c r="E27" s="186">
        <v>190.8</v>
      </c>
      <c r="F27" s="188">
        <f t="shared" si="2"/>
        <v>0.66666666666666663</v>
      </c>
    </row>
    <row r="28" spans="1:30" x14ac:dyDescent="0.3">
      <c r="A28">
        <f t="shared" si="0"/>
        <v>1999</v>
      </c>
      <c r="B28" s="179">
        <v>36404</v>
      </c>
      <c r="C28" s="18">
        <v>112</v>
      </c>
      <c r="D28" s="19">
        <f t="shared" si="1"/>
        <v>85.199999999999989</v>
      </c>
      <c r="E28" s="18">
        <v>197.2</v>
      </c>
      <c r="F28" s="180">
        <f t="shared" si="2"/>
        <v>0.56795131845841784</v>
      </c>
    </row>
    <row r="29" spans="1:30" x14ac:dyDescent="0.3">
      <c r="A29">
        <f t="shared" si="0"/>
        <v>1999</v>
      </c>
      <c r="B29" s="179">
        <v>36495</v>
      </c>
      <c r="C29" s="186">
        <v>96.9</v>
      </c>
      <c r="D29" s="187">
        <f t="shared" si="1"/>
        <v>82.299999999999983</v>
      </c>
      <c r="E29" s="186">
        <v>179.2</v>
      </c>
      <c r="F29" s="188">
        <f t="shared" si="2"/>
        <v>0.54073660714285721</v>
      </c>
    </row>
    <row r="30" spans="1:30" x14ac:dyDescent="0.3">
      <c r="A30">
        <f t="shared" si="0"/>
        <v>2000</v>
      </c>
      <c r="B30" s="179">
        <v>36586</v>
      </c>
      <c r="C30" s="18">
        <v>121.2</v>
      </c>
      <c r="D30" s="19">
        <f t="shared" si="1"/>
        <v>38.799999999999997</v>
      </c>
      <c r="E30" s="18">
        <v>160</v>
      </c>
      <c r="F30" s="180">
        <f t="shared" si="2"/>
        <v>0.75750000000000006</v>
      </c>
    </row>
    <row r="31" spans="1:30" x14ac:dyDescent="0.3">
      <c r="A31">
        <f t="shared" si="0"/>
        <v>2000</v>
      </c>
      <c r="B31" s="179">
        <v>36678</v>
      </c>
      <c r="C31" s="186">
        <v>113.9</v>
      </c>
      <c r="D31" s="187">
        <f t="shared" si="1"/>
        <v>50.400000000000006</v>
      </c>
      <c r="E31" s="186">
        <v>164.3</v>
      </c>
      <c r="F31" s="188">
        <f t="shared" si="2"/>
        <v>0.69324406573341446</v>
      </c>
    </row>
    <row r="32" spans="1:30" x14ac:dyDescent="0.3">
      <c r="A32">
        <f t="shared" si="0"/>
        <v>2000</v>
      </c>
      <c r="B32" s="179">
        <v>36770</v>
      </c>
      <c r="C32" s="18">
        <v>148.80000000000001</v>
      </c>
      <c r="D32" s="19">
        <f t="shared" si="1"/>
        <v>69.5</v>
      </c>
      <c r="E32" s="18">
        <v>218.3</v>
      </c>
      <c r="F32" s="180">
        <f t="shared" si="2"/>
        <v>0.6816307833256986</v>
      </c>
    </row>
    <row r="33" spans="1:6" x14ac:dyDescent="0.3">
      <c r="A33">
        <f t="shared" si="0"/>
        <v>2000</v>
      </c>
      <c r="B33" s="179">
        <v>36861</v>
      </c>
      <c r="C33" s="186">
        <v>166.3</v>
      </c>
      <c r="D33" s="187">
        <f t="shared" si="1"/>
        <v>75.399999999999977</v>
      </c>
      <c r="E33" s="186">
        <v>241.7</v>
      </c>
      <c r="F33" s="188">
        <f t="shared" si="2"/>
        <v>0.68804302854778654</v>
      </c>
    </row>
    <row r="34" spans="1:6" x14ac:dyDescent="0.3">
      <c r="A34">
        <f t="shared" si="0"/>
        <v>2001</v>
      </c>
      <c r="B34" s="179">
        <v>36951</v>
      </c>
      <c r="C34" s="18">
        <v>216.4</v>
      </c>
      <c r="D34" s="19">
        <f t="shared" si="1"/>
        <v>82.4</v>
      </c>
      <c r="E34" s="18">
        <v>298.8</v>
      </c>
      <c r="F34" s="180">
        <f t="shared" si="2"/>
        <v>0.72423025435073629</v>
      </c>
    </row>
    <row r="35" spans="1:6" x14ac:dyDescent="0.3">
      <c r="A35">
        <f t="shared" si="0"/>
        <v>2001</v>
      </c>
      <c r="B35" s="179">
        <v>37043</v>
      </c>
      <c r="C35" s="186">
        <v>156</v>
      </c>
      <c r="D35" s="187">
        <f t="shared" si="1"/>
        <v>110</v>
      </c>
      <c r="E35" s="186">
        <v>266</v>
      </c>
      <c r="F35" s="188">
        <f t="shared" si="2"/>
        <v>0.5864661654135338</v>
      </c>
    </row>
    <row r="36" spans="1:6" x14ac:dyDescent="0.3">
      <c r="A36">
        <f t="shared" si="0"/>
        <v>2001</v>
      </c>
      <c r="B36" s="179">
        <v>37135</v>
      </c>
      <c r="C36" s="18">
        <v>136.30000000000001</v>
      </c>
      <c r="D36" s="19">
        <f t="shared" si="1"/>
        <v>95.399999999999977</v>
      </c>
      <c r="E36" s="18">
        <v>231.7</v>
      </c>
      <c r="F36" s="180">
        <f t="shared" si="2"/>
        <v>0.58826068191627112</v>
      </c>
    </row>
    <row r="37" spans="1:6" x14ac:dyDescent="0.3">
      <c r="A37">
        <f t="shared" si="0"/>
        <v>2001</v>
      </c>
      <c r="B37" s="179">
        <v>37226</v>
      </c>
      <c r="C37" s="186">
        <v>141.69999999999999</v>
      </c>
      <c r="D37" s="187">
        <f t="shared" si="1"/>
        <v>125.69999999999999</v>
      </c>
      <c r="E37" s="186">
        <v>267.39999999999998</v>
      </c>
      <c r="F37" s="188">
        <f t="shared" si="2"/>
        <v>0.52991772625280475</v>
      </c>
    </row>
    <row r="38" spans="1:6" x14ac:dyDescent="0.3">
      <c r="A38">
        <f t="shared" si="0"/>
        <v>2002</v>
      </c>
      <c r="B38" s="179">
        <v>37316</v>
      </c>
      <c r="C38" s="18">
        <v>119.7</v>
      </c>
      <c r="D38" s="19">
        <f t="shared" si="1"/>
        <v>83.3</v>
      </c>
      <c r="E38" s="18">
        <v>203</v>
      </c>
      <c r="F38" s="180">
        <f t="shared" si="2"/>
        <v>0.58965517241379317</v>
      </c>
    </row>
    <row r="39" spans="1:6" x14ac:dyDescent="0.3">
      <c r="A39">
        <f t="shared" si="0"/>
        <v>2002</v>
      </c>
      <c r="B39" s="179">
        <v>37408</v>
      </c>
      <c r="C39" s="186">
        <v>82</v>
      </c>
      <c r="D39" s="187">
        <f t="shared" si="1"/>
        <v>98.5</v>
      </c>
      <c r="E39" s="186">
        <v>180.5</v>
      </c>
      <c r="F39" s="188">
        <f t="shared" si="2"/>
        <v>0.45429362880886426</v>
      </c>
    </row>
    <row r="40" spans="1:6" x14ac:dyDescent="0.3">
      <c r="A40">
        <f t="shared" si="0"/>
        <v>2002</v>
      </c>
      <c r="B40" s="179">
        <v>37500</v>
      </c>
      <c r="C40" s="18">
        <v>85.3</v>
      </c>
      <c r="D40" s="19">
        <f t="shared" si="1"/>
        <v>132.69999999999999</v>
      </c>
      <c r="E40" s="18">
        <v>218</v>
      </c>
      <c r="F40" s="180">
        <f t="shared" si="2"/>
        <v>0.39128440366972478</v>
      </c>
    </row>
    <row r="41" spans="1:6" x14ac:dyDescent="0.3">
      <c r="A41">
        <f t="shared" si="0"/>
        <v>2002</v>
      </c>
      <c r="B41" s="179">
        <v>37591</v>
      </c>
      <c r="C41" s="186">
        <v>170.2</v>
      </c>
      <c r="D41" s="187">
        <f t="shared" si="1"/>
        <v>100.19999999999999</v>
      </c>
      <c r="E41" s="186">
        <v>270.39999999999998</v>
      </c>
      <c r="F41" s="188">
        <f t="shared" si="2"/>
        <v>0.62943786982248517</v>
      </c>
    </row>
    <row r="42" spans="1:6" x14ac:dyDescent="0.3">
      <c r="A42">
        <f t="shared" si="0"/>
        <v>2003</v>
      </c>
      <c r="B42" s="179">
        <v>37681</v>
      </c>
      <c r="C42" s="18">
        <v>191.5</v>
      </c>
      <c r="D42" s="19">
        <f t="shared" si="1"/>
        <v>75</v>
      </c>
      <c r="E42" s="18">
        <v>266.5</v>
      </c>
      <c r="F42" s="180">
        <f t="shared" si="2"/>
        <v>0.7185741088180112</v>
      </c>
    </row>
    <row r="43" spans="1:6" x14ac:dyDescent="0.3">
      <c r="A43">
        <f t="shared" si="0"/>
        <v>2003</v>
      </c>
      <c r="B43" s="179">
        <v>37773</v>
      </c>
      <c r="C43" s="186">
        <v>151.30000000000001</v>
      </c>
      <c r="D43" s="187">
        <f t="shared" si="1"/>
        <v>88.799999999999983</v>
      </c>
      <c r="E43" s="186">
        <v>240.1</v>
      </c>
      <c r="F43" s="188">
        <f t="shared" si="2"/>
        <v>0.63015410245730952</v>
      </c>
    </row>
    <row r="44" spans="1:6" x14ac:dyDescent="0.3">
      <c r="A44">
        <f t="shared" si="0"/>
        <v>2003</v>
      </c>
      <c r="B44" s="179">
        <v>37865</v>
      </c>
      <c r="C44" s="18">
        <v>177.9</v>
      </c>
      <c r="D44" s="19">
        <f t="shared" si="1"/>
        <v>52.799999999999983</v>
      </c>
      <c r="E44" s="18">
        <v>230.7</v>
      </c>
      <c r="F44" s="180">
        <f t="shared" si="2"/>
        <v>0.77113133940182066</v>
      </c>
    </row>
    <row r="45" spans="1:6" x14ac:dyDescent="0.3">
      <c r="A45">
        <f t="shared" si="0"/>
        <v>2003</v>
      </c>
      <c r="B45" s="179">
        <v>37956</v>
      </c>
      <c r="C45" s="186">
        <v>188.2</v>
      </c>
      <c r="D45" s="187">
        <f t="shared" si="1"/>
        <v>99.900000000000034</v>
      </c>
      <c r="E45" s="186">
        <v>288.10000000000002</v>
      </c>
      <c r="F45" s="188">
        <f t="shared" si="2"/>
        <v>0.6532454009024643</v>
      </c>
    </row>
    <row r="46" spans="1:6" x14ac:dyDescent="0.3">
      <c r="A46">
        <f t="shared" si="0"/>
        <v>2004</v>
      </c>
      <c r="B46" s="179">
        <v>38047</v>
      </c>
      <c r="C46" s="18">
        <v>106.9</v>
      </c>
      <c r="D46" s="19">
        <f t="shared" si="1"/>
        <v>61.900000000000006</v>
      </c>
      <c r="E46" s="18">
        <v>168.8</v>
      </c>
      <c r="F46" s="180">
        <f t="shared" si="2"/>
        <v>0.63329383886255919</v>
      </c>
    </row>
    <row r="47" spans="1:6" x14ac:dyDescent="0.3">
      <c r="A47">
        <f t="shared" si="0"/>
        <v>2004</v>
      </c>
      <c r="B47" s="179">
        <v>38139</v>
      </c>
      <c r="C47" s="186">
        <v>197.5</v>
      </c>
      <c r="D47" s="187">
        <f t="shared" si="1"/>
        <v>58.899999999999977</v>
      </c>
      <c r="E47" s="186">
        <v>256.39999999999998</v>
      </c>
      <c r="F47" s="188">
        <f t="shared" si="2"/>
        <v>0.7702808112324494</v>
      </c>
    </row>
    <row r="48" spans="1:6" x14ac:dyDescent="0.3">
      <c r="A48">
        <f t="shared" si="0"/>
        <v>2004</v>
      </c>
      <c r="B48" s="179">
        <v>38231</v>
      </c>
      <c r="C48" s="18">
        <v>129.69999999999999</v>
      </c>
      <c r="D48" s="19">
        <f t="shared" si="1"/>
        <v>80.800000000000011</v>
      </c>
      <c r="E48" s="18">
        <v>210.5</v>
      </c>
      <c r="F48" s="180">
        <f t="shared" si="2"/>
        <v>0.61615201900237526</v>
      </c>
    </row>
    <row r="49" spans="1:6" x14ac:dyDescent="0.3">
      <c r="A49">
        <f t="shared" si="0"/>
        <v>2004</v>
      </c>
      <c r="B49" s="179">
        <v>38322</v>
      </c>
      <c r="C49" s="186">
        <v>113.1</v>
      </c>
      <c r="D49" s="187">
        <f t="shared" si="1"/>
        <v>173.50000000000003</v>
      </c>
      <c r="E49" s="186">
        <v>286.60000000000002</v>
      </c>
      <c r="F49" s="188">
        <f t="shared" si="2"/>
        <v>0.39462665736217722</v>
      </c>
    </row>
    <row r="50" spans="1:6" x14ac:dyDescent="0.3">
      <c r="A50">
        <f t="shared" si="0"/>
        <v>2005</v>
      </c>
      <c r="B50" s="179">
        <v>38412</v>
      </c>
      <c r="C50" s="18">
        <v>154.30000000000001</v>
      </c>
      <c r="D50" s="19">
        <f t="shared" si="1"/>
        <v>114.89999999999998</v>
      </c>
      <c r="E50" s="18">
        <v>269.2</v>
      </c>
      <c r="F50" s="180">
        <f t="shared" si="2"/>
        <v>0.57317979197622593</v>
      </c>
    </row>
    <row r="51" spans="1:6" x14ac:dyDescent="0.3">
      <c r="A51">
        <f t="shared" si="0"/>
        <v>2005</v>
      </c>
      <c r="B51" s="179">
        <v>38504</v>
      </c>
      <c r="C51" s="186">
        <v>129.4</v>
      </c>
      <c r="D51" s="187">
        <f t="shared" si="1"/>
        <v>149.1</v>
      </c>
      <c r="E51" s="186">
        <v>278.5</v>
      </c>
      <c r="F51" s="188">
        <f t="shared" si="2"/>
        <v>0.46463195691202874</v>
      </c>
    </row>
    <row r="52" spans="1:6" x14ac:dyDescent="0.3">
      <c r="A52">
        <f t="shared" si="0"/>
        <v>2005</v>
      </c>
      <c r="B52" s="179">
        <v>38596</v>
      </c>
      <c r="C52" s="18">
        <v>135.1</v>
      </c>
      <c r="D52" s="19">
        <f t="shared" si="1"/>
        <v>146.9</v>
      </c>
      <c r="E52" s="18">
        <v>282</v>
      </c>
      <c r="F52" s="180">
        <f t="shared" si="2"/>
        <v>0.47907801418439716</v>
      </c>
    </row>
    <row r="53" spans="1:6" x14ac:dyDescent="0.3">
      <c r="A53">
        <f t="shared" si="0"/>
        <v>2005</v>
      </c>
      <c r="B53" s="179">
        <v>38687</v>
      </c>
      <c r="C53" s="186">
        <v>152.80000000000001</v>
      </c>
      <c r="D53" s="187">
        <f t="shared" si="1"/>
        <v>173.7</v>
      </c>
      <c r="E53" s="186">
        <v>326.5</v>
      </c>
      <c r="F53" s="188">
        <f t="shared" si="2"/>
        <v>0.46799387442572743</v>
      </c>
    </row>
    <row r="54" spans="1:6" x14ac:dyDescent="0.3">
      <c r="A54">
        <f t="shared" si="0"/>
        <v>2006</v>
      </c>
      <c r="B54" s="179">
        <v>38777</v>
      </c>
      <c r="C54" s="18">
        <v>137</v>
      </c>
      <c r="D54" s="19">
        <f t="shared" si="1"/>
        <v>136.60000000000002</v>
      </c>
      <c r="E54" s="18">
        <v>273.60000000000002</v>
      </c>
      <c r="F54" s="180">
        <f t="shared" si="2"/>
        <v>0.50073099415204669</v>
      </c>
    </row>
    <row r="55" spans="1:6" x14ac:dyDescent="0.3">
      <c r="A55">
        <f t="shared" si="0"/>
        <v>2006</v>
      </c>
      <c r="B55" s="179">
        <v>38869</v>
      </c>
      <c r="C55" s="186">
        <v>168.7</v>
      </c>
      <c r="D55" s="187">
        <f t="shared" si="1"/>
        <v>211.2</v>
      </c>
      <c r="E55" s="186">
        <v>379.9</v>
      </c>
      <c r="F55" s="188">
        <f t="shared" si="2"/>
        <v>0.44406422742827062</v>
      </c>
    </row>
    <row r="56" spans="1:6" x14ac:dyDescent="0.3">
      <c r="A56">
        <f t="shared" si="0"/>
        <v>2006</v>
      </c>
      <c r="B56" s="179">
        <v>38961</v>
      </c>
      <c r="C56" s="18">
        <v>289.89999999999998</v>
      </c>
      <c r="D56" s="19">
        <f t="shared" si="1"/>
        <v>198.70000000000005</v>
      </c>
      <c r="E56" s="18">
        <v>488.6</v>
      </c>
      <c r="F56" s="180">
        <f t="shared" si="2"/>
        <v>0.59332787556283251</v>
      </c>
    </row>
    <row r="57" spans="1:6" x14ac:dyDescent="0.3">
      <c r="A57">
        <f t="shared" si="0"/>
        <v>2006</v>
      </c>
      <c r="B57" s="179">
        <v>39052</v>
      </c>
      <c r="C57" s="186">
        <v>346.1</v>
      </c>
      <c r="D57" s="187">
        <f t="shared" si="1"/>
        <v>198.39999999999998</v>
      </c>
      <c r="E57" s="186">
        <v>544.5</v>
      </c>
      <c r="F57" s="188">
        <f t="shared" si="2"/>
        <v>0.63562901744719935</v>
      </c>
    </row>
    <row r="58" spans="1:6" x14ac:dyDescent="0.3">
      <c r="A58">
        <f t="shared" si="0"/>
        <v>2007</v>
      </c>
      <c r="B58" s="179">
        <v>39142</v>
      </c>
      <c r="C58" s="18">
        <v>319.5</v>
      </c>
      <c r="D58" s="19">
        <f t="shared" si="1"/>
        <v>140.80000000000001</v>
      </c>
      <c r="E58" s="18">
        <v>460.3</v>
      </c>
      <c r="F58" s="180">
        <f t="shared" si="2"/>
        <v>0.69411253530306316</v>
      </c>
    </row>
    <row r="59" spans="1:6" x14ac:dyDescent="0.3">
      <c r="A59">
        <f t="shared" si="0"/>
        <v>2007</v>
      </c>
      <c r="B59" s="179">
        <v>39234</v>
      </c>
      <c r="C59" s="186">
        <v>525.4</v>
      </c>
      <c r="D59" s="187">
        <f t="shared" si="1"/>
        <v>206.70000000000005</v>
      </c>
      <c r="E59" s="186">
        <v>732.1</v>
      </c>
      <c r="F59" s="188">
        <f t="shared" si="2"/>
        <v>0.71766152165004771</v>
      </c>
    </row>
    <row r="60" spans="1:6" x14ac:dyDescent="0.3">
      <c r="A60">
        <f t="shared" si="0"/>
        <v>2007</v>
      </c>
      <c r="B60" s="179">
        <v>39326</v>
      </c>
      <c r="C60" s="18">
        <v>546.5</v>
      </c>
      <c r="D60" s="19">
        <f t="shared" si="1"/>
        <v>151.79999999999995</v>
      </c>
      <c r="E60" s="18">
        <v>698.3</v>
      </c>
      <c r="F60" s="180">
        <f t="shared" si="2"/>
        <v>0.78261492195331528</v>
      </c>
    </row>
    <row r="61" spans="1:6" x14ac:dyDescent="0.3">
      <c r="A61">
        <f t="shared" si="0"/>
        <v>2007</v>
      </c>
      <c r="B61" s="179">
        <v>39417</v>
      </c>
      <c r="C61" s="186">
        <v>512.70000000000005</v>
      </c>
      <c r="D61" s="187">
        <f t="shared" si="1"/>
        <v>257.29999999999995</v>
      </c>
      <c r="E61" s="186">
        <v>770</v>
      </c>
      <c r="F61" s="188">
        <f t="shared" si="2"/>
        <v>0.6658441558441559</v>
      </c>
    </row>
    <row r="62" spans="1:6" x14ac:dyDescent="0.3">
      <c r="A62">
        <f t="shared" si="0"/>
        <v>2008</v>
      </c>
      <c r="B62" s="179">
        <v>39508</v>
      </c>
      <c r="C62" s="18">
        <v>498.7</v>
      </c>
      <c r="D62" s="19">
        <f t="shared" si="1"/>
        <v>210.7</v>
      </c>
      <c r="E62" s="18">
        <v>709.4</v>
      </c>
      <c r="F62" s="180">
        <f t="shared" si="2"/>
        <v>0.70298844093600221</v>
      </c>
    </row>
    <row r="63" spans="1:6" x14ac:dyDescent="0.3">
      <c r="A63">
        <f t="shared" si="0"/>
        <v>2008</v>
      </c>
      <c r="B63" s="179">
        <v>39600</v>
      </c>
      <c r="C63" s="186">
        <v>616.9</v>
      </c>
      <c r="D63" s="187">
        <f t="shared" si="1"/>
        <v>240.30000000000007</v>
      </c>
      <c r="E63" s="186">
        <v>857.2</v>
      </c>
      <c r="F63" s="188">
        <f t="shared" si="2"/>
        <v>0.71966868875408296</v>
      </c>
    </row>
    <row r="64" spans="1:6" x14ac:dyDescent="0.3">
      <c r="A64">
        <f t="shared" si="0"/>
        <v>2008</v>
      </c>
      <c r="B64" s="179">
        <v>39692</v>
      </c>
      <c r="C64" s="18">
        <v>539.5</v>
      </c>
      <c r="D64" s="19">
        <f t="shared" si="1"/>
        <v>241.79999999999995</v>
      </c>
      <c r="E64" s="18">
        <v>781.3</v>
      </c>
      <c r="F64" s="180">
        <f t="shared" si="2"/>
        <v>0.6905158069883528</v>
      </c>
    </row>
    <row r="65" spans="1:6" x14ac:dyDescent="0.3">
      <c r="A65">
        <f t="shared" si="0"/>
        <v>2008</v>
      </c>
      <c r="B65" s="179">
        <v>39783</v>
      </c>
      <c r="C65" s="186">
        <v>798.9</v>
      </c>
      <c r="D65" s="187">
        <f t="shared" si="1"/>
        <v>214.5</v>
      </c>
      <c r="E65" s="186">
        <v>1013.4</v>
      </c>
      <c r="F65" s="188">
        <f t="shared" si="2"/>
        <v>0.78833629366489044</v>
      </c>
    </row>
    <row r="66" spans="1:6" x14ac:dyDescent="0.3">
      <c r="A66">
        <f t="shared" si="0"/>
        <v>2009</v>
      </c>
      <c r="B66" s="179">
        <v>39873</v>
      </c>
      <c r="C66" s="18">
        <v>789.4</v>
      </c>
      <c r="D66" s="19">
        <f t="shared" si="1"/>
        <v>209.20000000000005</v>
      </c>
      <c r="E66" s="18">
        <v>998.6</v>
      </c>
      <c r="F66" s="180">
        <f t="shared" si="2"/>
        <v>0.79050670939315038</v>
      </c>
    </row>
    <row r="67" spans="1:6" x14ac:dyDescent="0.3">
      <c r="A67">
        <f t="shared" si="0"/>
        <v>2009</v>
      </c>
      <c r="B67" s="179">
        <v>39965</v>
      </c>
      <c r="C67" s="186">
        <v>817.4</v>
      </c>
      <c r="D67" s="187">
        <f t="shared" si="1"/>
        <v>200</v>
      </c>
      <c r="E67" s="186">
        <v>1017.4</v>
      </c>
      <c r="F67" s="188">
        <f t="shared" si="2"/>
        <v>0.80342048358561036</v>
      </c>
    </row>
    <row r="68" spans="1:6" x14ac:dyDescent="0.3">
      <c r="A68">
        <f t="shared" si="0"/>
        <v>2009</v>
      </c>
      <c r="B68" s="179">
        <v>40057</v>
      </c>
      <c r="C68" s="18">
        <v>603.9</v>
      </c>
      <c r="D68" s="19">
        <f t="shared" si="1"/>
        <v>193.80000000000007</v>
      </c>
      <c r="E68" s="18">
        <v>797.7</v>
      </c>
      <c r="F68" s="180">
        <f t="shared" si="2"/>
        <v>0.75705152312899582</v>
      </c>
    </row>
    <row r="69" spans="1:6" x14ac:dyDescent="0.3">
      <c r="A69">
        <f t="shared" si="0"/>
        <v>2009</v>
      </c>
      <c r="B69" s="179">
        <v>40148</v>
      </c>
      <c r="C69" s="186">
        <v>541.70000000000005</v>
      </c>
      <c r="D69" s="187">
        <f t="shared" si="1"/>
        <v>285.29999999999995</v>
      </c>
      <c r="E69" s="186">
        <v>827</v>
      </c>
      <c r="F69" s="188">
        <f t="shared" si="2"/>
        <v>0.65501813784764218</v>
      </c>
    </row>
    <row r="70" spans="1:6" x14ac:dyDescent="0.3">
      <c r="A70">
        <f t="shared" si="0"/>
        <v>2010</v>
      </c>
      <c r="B70" s="179">
        <v>40238</v>
      </c>
      <c r="C70" s="18">
        <v>646.70000000000005</v>
      </c>
      <c r="D70" s="19">
        <f t="shared" si="1"/>
        <v>216.79999999999995</v>
      </c>
      <c r="E70" s="18">
        <v>863.5</v>
      </c>
      <c r="F70" s="180">
        <f t="shared" si="2"/>
        <v>0.7489287782281413</v>
      </c>
    </row>
    <row r="71" spans="1:6" x14ac:dyDescent="0.3">
      <c r="A71">
        <f t="shared" si="0"/>
        <v>2010</v>
      </c>
      <c r="B71" s="179">
        <v>40330</v>
      </c>
      <c r="C71" s="186">
        <v>692.3</v>
      </c>
      <c r="D71" s="187">
        <f t="shared" si="1"/>
        <v>313.60000000000002</v>
      </c>
      <c r="E71" s="186">
        <v>1005.9</v>
      </c>
      <c r="F71" s="188">
        <f t="shared" si="2"/>
        <v>0.68823938761308279</v>
      </c>
    </row>
    <row r="72" spans="1:6" x14ac:dyDescent="0.3">
      <c r="A72">
        <f t="shared" ref="A72:A135" si="13">YEAR(B72)</f>
        <v>2010</v>
      </c>
      <c r="B72" s="179">
        <v>40422</v>
      </c>
      <c r="C72" s="18">
        <v>597.1</v>
      </c>
      <c r="D72" s="19">
        <f t="shared" ref="D72:D127" si="14">E72-C72</f>
        <v>253.29999999999995</v>
      </c>
      <c r="E72" s="18">
        <v>850.4</v>
      </c>
      <c r="F72" s="180">
        <f t="shared" ref="F72:F127" si="15">C72/E72</f>
        <v>0.70214016933207901</v>
      </c>
    </row>
    <row r="73" spans="1:6" x14ac:dyDescent="0.3">
      <c r="A73">
        <f t="shared" si="13"/>
        <v>2010</v>
      </c>
      <c r="B73" s="179">
        <v>40513</v>
      </c>
      <c r="C73" s="186">
        <v>559.20000000000005</v>
      </c>
      <c r="D73" s="187">
        <f t="shared" si="14"/>
        <v>290.39999999999998</v>
      </c>
      <c r="E73" s="186">
        <v>849.6</v>
      </c>
      <c r="F73" s="188">
        <f t="shared" si="15"/>
        <v>0.65819209039548021</v>
      </c>
    </row>
    <row r="74" spans="1:6" x14ac:dyDescent="0.3">
      <c r="A74">
        <f t="shared" si="13"/>
        <v>2011</v>
      </c>
      <c r="B74" s="179">
        <v>40603</v>
      </c>
      <c r="C74" s="18">
        <v>607</v>
      </c>
      <c r="D74" s="19">
        <f t="shared" si="14"/>
        <v>159.10000000000002</v>
      </c>
      <c r="E74" s="18">
        <v>766.1</v>
      </c>
      <c r="F74" s="180">
        <f t="shared" si="15"/>
        <v>0.79232476178044642</v>
      </c>
    </row>
    <row r="75" spans="1:6" x14ac:dyDescent="0.3">
      <c r="A75">
        <f t="shared" si="13"/>
        <v>2011</v>
      </c>
      <c r="B75" s="179">
        <v>40695</v>
      </c>
      <c r="C75" s="186">
        <v>639</v>
      </c>
      <c r="D75" s="187">
        <f t="shared" si="14"/>
        <v>210.29999999999995</v>
      </c>
      <c r="E75" s="186">
        <v>849.3</v>
      </c>
      <c r="F75" s="188">
        <f t="shared" si="15"/>
        <v>0.75238431649593784</v>
      </c>
    </row>
    <row r="76" spans="1:6" x14ac:dyDescent="0.3">
      <c r="A76">
        <f t="shared" si="13"/>
        <v>2011</v>
      </c>
      <c r="B76" s="179">
        <v>40787</v>
      </c>
      <c r="C76" s="18">
        <v>487.9</v>
      </c>
      <c r="D76" s="19">
        <f t="shared" si="14"/>
        <v>292.30000000000007</v>
      </c>
      <c r="E76" s="18">
        <v>780.2</v>
      </c>
      <c r="F76" s="180">
        <f t="shared" si="15"/>
        <v>0.62535247372468594</v>
      </c>
    </row>
    <row r="77" spans="1:6" x14ac:dyDescent="0.3">
      <c r="A77">
        <f t="shared" si="13"/>
        <v>2011</v>
      </c>
      <c r="B77" s="179">
        <v>40878</v>
      </c>
      <c r="C77" s="186">
        <v>611.9</v>
      </c>
      <c r="D77" s="187">
        <f t="shared" si="14"/>
        <v>285.10000000000002</v>
      </c>
      <c r="E77" s="186">
        <v>897</v>
      </c>
      <c r="F77" s="188">
        <f t="shared" si="15"/>
        <v>0.68216276477146043</v>
      </c>
    </row>
    <row r="78" spans="1:6" x14ac:dyDescent="0.3">
      <c r="A78">
        <f t="shared" si="13"/>
        <v>2012</v>
      </c>
      <c r="B78" s="179">
        <v>40969</v>
      </c>
      <c r="C78" s="18">
        <v>393.2</v>
      </c>
      <c r="D78" s="19">
        <f t="shared" si="14"/>
        <v>202.8</v>
      </c>
      <c r="E78" s="18">
        <v>596</v>
      </c>
      <c r="F78" s="180">
        <f t="shared" si="15"/>
        <v>0.65973154362416109</v>
      </c>
    </row>
    <row r="79" spans="1:6" x14ac:dyDescent="0.3">
      <c r="A79">
        <f t="shared" si="13"/>
        <v>2012</v>
      </c>
      <c r="B79" s="179">
        <v>41061</v>
      </c>
      <c r="C79" s="186">
        <v>624.20000000000005</v>
      </c>
      <c r="D79" s="187">
        <f t="shared" si="14"/>
        <v>299.59999999999991</v>
      </c>
      <c r="E79" s="186">
        <v>923.8</v>
      </c>
      <c r="F79" s="188">
        <f t="shared" si="15"/>
        <v>0.67568737822039415</v>
      </c>
    </row>
    <row r="80" spans="1:6" x14ac:dyDescent="0.3">
      <c r="A80">
        <f t="shared" si="13"/>
        <v>2012</v>
      </c>
      <c r="B80" s="179">
        <v>41153</v>
      </c>
      <c r="C80" s="18">
        <v>753.9</v>
      </c>
      <c r="D80" s="19">
        <f t="shared" si="14"/>
        <v>330.1</v>
      </c>
      <c r="E80" s="18">
        <v>1084</v>
      </c>
      <c r="F80" s="180">
        <f t="shared" si="15"/>
        <v>0.6954797047970479</v>
      </c>
    </row>
    <row r="81" spans="1:6" x14ac:dyDescent="0.3">
      <c r="A81">
        <f t="shared" si="13"/>
        <v>2012</v>
      </c>
      <c r="B81" s="179">
        <v>41244</v>
      </c>
      <c r="C81" s="186">
        <v>985.3</v>
      </c>
      <c r="D81" s="187">
        <f t="shared" si="14"/>
        <v>413.29999999999995</v>
      </c>
      <c r="E81" s="186">
        <v>1398.6</v>
      </c>
      <c r="F81" s="188">
        <f t="shared" si="15"/>
        <v>0.7044902044902045</v>
      </c>
    </row>
    <row r="82" spans="1:6" x14ac:dyDescent="0.3">
      <c r="A82">
        <f t="shared" si="13"/>
        <v>2013</v>
      </c>
      <c r="B82" s="179">
        <v>41334</v>
      </c>
      <c r="C82" s="18">
        <v>713.4</v>
      </c>
      <c r="D82" s="19">
        <f t="shared" si="14"/>
        <v>296.30000000000007</v>
      </c>
      <c r="E82" s="18">
        <v>1009.7</v>
      </c>
      <c r="F82" s="180">
        <f t="shared" si="15"/>
        <v>0.70654649896008714</v>
      </c>
    </row>
    <row r="83" spans="1:6" x14ac:dyDescent="0.3">
      <c r="A83">
        <f t="shared" si="13"/>
        <v>2013</v>
      </c>
      <c r="B83" s="179">
        <v>41426</v>
      </c>
      <c r="C83" s="186">
        <v>841.2</v>
      </c>
      <c r="D83" s="187">
        <f t="shared" si="14"/>
        <v>459.89999999999986</v>
      </c>
      <c r="E83" s="186">
        <v>1301.0999999999999</v>
      </c>
      <c r="F83" s="188">
        <f t="shared" si="15"/>
        <v>0.64652985934978102</v>
      </c>
    </row>
    <row r="84" spans="1:6" x14ac:dyDescent="0.3">
      <c r="A84">
        <f t="shared" si="13"/>
        <v>2013</v>
      </c>
      <c r="B84" s="179">
        <v>41518</v>
      </c>
      <c r="C84" s="18">
        <v>752.2</v>
      </c>
      <c r="D84" s="19">
        <f t="shared" si="14"/>
        <v>363.09999999999991</v>
      </c>
      <c r="E84" s="18">
        <v>1115.3</v>
      </c>
      <c r="F84" s="180">
        <f t="shared" si="15"/>
        <v>0.67443737111091195</v>
      </c>
    </row>
    <row r="85" spans="1:6" x14ac:dyDescent="0.3">
      <c r="A85">
        <f t="shared" si="13"/>
        <v>2013</v>
      </c>
      <c r="B85" s="179">
        <v>41609</v>
      </c>
      <c r="C85" s="186">
        <v>677.4</v>
      </c>
      <c r="D85" s="187">
        <f t="shared" si="14"/>
        <v>425.9</v>
      </c>
      <c r="E85" s="186">
        <v>1103.3</v>
      </c>
      <c r="F85" s="188">
        <f t="shared" si="15"/>
        <v>0.61397625305900483</v>
      </c>
    </row>
    <row r="86" spans="1:6" x14ac:dyDescent="0.3">
      <c r="A86">
        <f t="shared" si="13"/>
        <v>2014</v>
      </c>
      <c r="B86" s="179">
        <v>41699</v>
      </c>
      <c r="C86" s="18">
        <v>737.1</v>
      </c>
      <c r="D86" s="19">
        <f t="shared" si="14"/>
        <v>334.99999999999989</v>
      </c>
      <c r="E86" s="18">
        <v>1072.0999999999999</v>
      </c>
      <c r="F86" s="180">
        <f t="shared" si="15"/>
        <v>0.68752914840033585</v>
      </c>
    </row>
    <row r="87" spans="1:6" x14ac:dyDescent="0.3">
      <c r="A87">
        <f t="shared" si="13"/>
        <v>2014</v>
      </c>
      <c r="B87" s="179">
        <v>41791</v>
      </c>
      <c r="C87" s="186">
        <v>823.9</v>
      </c>
      <c r="D87" s="187">
        <f t="shared" si="14"/>
        <v>709.9</v>
      </c>
      <c r="E87" s="186">
        <v>1533.8</v>
      </c>
      <c r="F87" s="188">
        <f t="shared" si="15"/>
        <v>0.53716260268613902</v>
      </c>
    </row>
    <row r="88" spans="1:6" x14ac:dyDescent="0.3">
      <c r="A88">
        <f t="shared" si="13"/>
        <v>2014</v>
      </c>
      <c r="B88" s="179">
        <v>41883</v>
      </c>
      <c r="C88" s="18">
        <v>591.5</v>
      </c>
      <c r="D88" s="19">
        <f t="shared" si="14"/>
        <v>388.4</v>
      </c>
      <c r="E88" s="18">
        <v>979.9</v>
      </c>
      <c r="F88" s="180">
        <f t="shared" si="15"/>
        <v>0.60363302377793648</v>
      </c>
    </row>
    <row r="89" spans="1:6" x14ac:dyDescent="0.3">
      <c r="A89">
        <f t="shared" si="13"/>
        <v>2014</v>
      </c>
      <c r="B89" s="179">
        <v>41974</v>
      </c>
      <c r="C89" s="186">
        <v>605.4</v>
      </c>
      <c r="D89" s="187">
        <f t="shared" si="14"/>
        <v>547.69999999999993</v>
      </c>
      <c r="E89" s="186">
        <v>1153.0999999999999</v>
      </c>
      <c r="F89" s="188">
        <f t="shared" si="15"/>
        <v>0.52501951261815971</v>
      </c>
    </row>
    <row r="90" spans="1:6" x14ac:dyDescent="0.3">
      <c r="A90">
        <f t="shared" si="13"/>
        <v>2015</v>
      </c>
      <c r="B90" s="179">
        <v>42064</v>
      </c>
      <c r="C90" s="18">
        <v>439.3</v>
      </c>
      <c r="D90" s="19">
        <f t="shared" si="14"/>
        <v>521.29999999999995</v>
      </c>
      <c r="E90" s="18">
        <v>960.6</v>
      </c>
      <c r="F90" s="180">
        <f t="shared" si="15"/>
        <v>0.45731834270247762</v>
      </c>
    </row>
    <row r="91" spans="1:6" x14ac:dyDescent="0.3">
      <c r="A91">
        <f t="shared" si="13"/>
        <v>2015</v>
      </c>
      <c r="B91" s="179">
        <v>42156</v>
      </c>
      <c r="C91" s="186">
        <v>432.7</v>
      </c>
      <c r="D91" s="187">
        <f t="shared" si="14"/>
        <v>265.09999999999997</v>
      </c>
      <c r="E91" s="186">
        <v>697.8</v>
      </c>
      <c r="F91" s="188">
        <f t="shared" si="15"/>
        <v>0.62009171682430497</v>
      </c>
    </row>
    <row r="92" spans="1:6" x14ac:dyDescent="0.3">
      <c r="A92">
        <f t="shared" si="13"/>
        <v>2015</v>
      </c>
      <c r="B92" s="179">
        <v>42248</v>
      </c>
      <c r="C92" s="18">
        <v>407.5</v>
      </c>
      <c r="D92" s="19">
        <f t="shared" si="14"/>
        <v>175.39999999999998</v>
      </c>
      <c r="E92" s="18">
        <v>582.9</v>
      </c>
      <c r="F92" s="180">
        <f t="shared" si="15"/>
        <v>0.6990907531308973</v>
      </c>
    </row>
    <row r="93" spans="1:6" x14ac:dyDescent="0.3">
      <c r="A93">
        <f t="shared" si="13"/>
        <v>2015</v>
      </c>
      <c r="B93" s="179">
        <v>42339</v>
      </c>
      <c r="C93" s="186">
        <v>337.6</v>
      </c>
      <c r="D93" s="187">
        <f t="shared" si="14"/>
        <v>144.39999999999998</v>
      </c>
      <c r="E93" s="186">
        <v>482</v>
      </c>
      <c r="F93" s="188">
        <f t="shared" si="15"/>
        <v>0.70041493775933616</v>
      </c>
    </row>
    <row r="94" spans="1:6" x14ac:dyDescent="0.3">
      <c r="A94">
        <f t="shared" si="13"/>
        <v>2016</v>
      </c>
      <c r="B94" s="179">
        <v>42430</v>
      </c>
      <c r="C94" s="18">
        <v>340.1</v>
      </c>
      <c r="D94" s="19">
        <f t="shared" si="14"/>
        <v>87.799999999999955</v>
      </c>
      <c r="E94" s="18">
        <v>427.9</v>
      </c>
      <c r="F94" s="180">
        <f t="shared" si="15"/>
        <v>0.79481187193269465</v>
      </c>
    </row>
    <row r="95" spans="1:6" x14ac:dyDescent="0.3">
      <c r="A95">
        <f t="shared" si="13"/>
        <v>2016</v>
      </c>
      <c r="B95" s="179">
        <v>42522</v>
      </c>
      <c r="C95" s="186">
        <v>212.2</v>
      </c>
      <c r="D95" s="187">
        <f t="shared" si="14"/>
        <v>71.199999999999989</v>
      </c>
      <c r="E95" s="186">
        <v>283.39999999999998</v>
      </c>
      <c r="F95" s="188">
        <f t="shared" si="15"/>
        <v>0.74876499647141848</v>
      </c>
    </row>
    <row r="96" spans="1:6" x14ac:dyDescent="0.3">
      <c r="A96">
        <f t="shared" si="13"/>
        <v>2016</v>
      </c>
      <c r="B96" s="179">
        <v>42614</v>
      </c>
      <c r="C96" s="18">
        <v>229.8</v>
      </c>
      <c r="D96" s="19">
        <f t="shared" si="14"/>
        <v>125.39999999999998</v>
      </c>
      <c r="E96" s="18">
        <v>355.2</v>
      </c>
      <c r="F96" s="295">
        <f t="shared" si="15"/>
        <v>0.64695945945945954</v>
      </c>
    </row>
    <row r="97" spans="1:6" x14ac:dyDescent="0.3">
      <c r="A97">
        <f t="shared" si="13"/>
        <v>2016</v>
      </c>
      <c r="B97" s="179">
        <v>42705</v>
      </c>
      <c r="C97" s="186">
        <v>213.9</v>
      </c>
      <c r="D97" s="187">
        <f t="shared" si="14"/>
        <v>121.29999999999998</v>
      </c>
      <c r="E97" s="186">
        <v>335.2</v>
      </c>
      <c r="F97" s="188">
        <f t="shared" si="15"/>
        <v>0.63812649164677804</v>
      </c>
    </row>
    <row r="98" spans="1:6" x14ac:dyDescent="0.3">
      <c r="A98">
        <f t="shared" si="13"/>
        <v>2017</v>
      </c>
      <c r="B98" s="179">
        <v>42795</v>
      </c>
      <c r="C98" s="18">
        <v>100</v>
      </c>
      <c r="D98" s="19">
        <f t="shared" si="14"/>
        <v>250</v>
      </c>
      <c r="E98" s="18">
        <v>350</v>
      </c>
      <c r="F98" s="295">
        <f t="shared" si="15"/>
        <v>0.2857142857142857</v>
      </c>
    </row>
    <row r="99" spans="1:6" x14ac:dyDescent="0.3">
      <c r="A99">
        <f t="shared" si="13"/>
        <v>2017</v>
      </c>
      <c r="B99" s="179">
        <v>42887</v>
      </c>
      <c r="C99" s="186">
        <v>107.8</v>
      </c>
      <c r="D99" s="187">
        <f t="shared" si="14"/>
        <v>227.8</v>
      </c>
      <c r="E99" s="186">
        <v>335.6</v>
      </c>
      <c r="F99" s="188">
        <f t="shared" si="15"/>
        <v>0.32121573301549461</v>
      </c>
    </row>
    <row r="100" spans="1:6" x14ac:dyDescent="0.3">
      <c r="A100">
        <f t="shared" si="13"/>
        <v>2017</v>
      </c>
      <c r="B100" s="179">
        <v>42979</v>
      </c>
      <c r="C100" s="18">
        <v>157.19999999999999</v>
      </c>
      <c r="D100" s="19">
        <f t="shared" si="14"/>
        <v>126.30000000000001</v>
      </c>
      <c r="E100" s="18">
        <v>283.5</v>
      </c>
      <c r="F100" s="295">
        <f t="shared" si="15"/>
        <v>0.55449735449735449</v>
      </c>
    </row>
    <row r="101" spans="1:6" x14ac:dyDescent="0.3">
      <c r="A101">
        <f t="shared" si="13"/>
        <v>2017</v>
      </c>
      <c r="B101" s="179">
        <v>43070</v>
      </c>
      <c r="C101" s="186">
        <v>127.5</v>
      </c>
      <c r="D101" s="187">
        <f t="shared" si="14"/>
        <v>117.6</v>
      </c>
      <c r="E101" s="186">
        <v>245.1</v>
      </c>
      <c r="F101" s="188">
        <f t="shared" si="15"/>
        <v>0.52019583843329253</v>
      </c>
    </row>
    <row r="102" spans="1:6" x14ac:dyDescent="0.3">
      <c r="A102">
        <f t="shared" si="13"/>
        <v>2018</v>
      </c>
      <c r="B102" s="179">
        <v>43160</v>
      </c>
      <c r="C102" s="18">
        <v>75.2</v>
      </c>
      <c r="D102" s="19">
        <f t="shared" si="14"/>
        <v>108.10000000000001</v>
      </c>
      <c r="E102" s="18">
        <v>183.3</v>
      </c>
      <c r="F102" s="295">
        <f t="shared" si="15"/>
        <v>0.41025641025641024</v>
      </c>
    </row>
    <row r="103" spans="1:6" x14ac:dyDescent="0.3">
      <c r="A103">
        <f t="shared" si="13"/>
        <v>2018</v>
      </c>
      <c r="B103" s="179">
        <v>43252</v>
      </c>
      <c r="C103" s="186">
        <v>202.4</v>
      </c>
      <c r="D103" s="187">
        <f t="shared" si="14"/>
        <v>113.70000000000002</v>
      </c>
      <c r="E103" s="186">
        <v>316.10000000000002</v>
      </c>
      <c r="F103" s="188">
        <f t="shared" si="15"/>
        <v>0.64030370136032899</v>
      </c>
    </row>
    <row r="104" spans="1:6" x14ac:dyDescent="0.3">
      <c r="A104">
        <f t="shared" si="13"/>
        <v>2018</v>
      </c>
      <c r="B104" s="179">
        <v>43344</v>
      </c>
      <c r="C104" s="18">
        <v>193.1</v>
      </c>
      <c r="D104" s="19">
        <f t="shared" si="14"/>
        <v>114.79999999999998</v>
      </c>
      <c r="E104" s="18">
        <v>307.89999999999998</v>
      </c>
      <c r="F104" s="295">
        <f t="shared" si="15"/>
        <v>0.62715167262098082</v>
      </c>
    </row>
    <row r="105" spans="1:6" x14ac:dyDescent="0.3">
      <c r="A105">
        <f t="shared" si="13"/>
        <v>2018</v>
      </c>
      <c r="B105" s="179">
        <v>43435</v>
      </c>
      <c r="C105" s="186">
        <v>201.6</v>
      </c>
      <c r="D105" s="187">
        <f t="shared" si="14"/>
        <v>150.79999999999998</v>
      </c>
      <c r="E105" s="186">
        <v>352.4</v>
      </c>
      <c r="F105" s="188">
        <f t="shared" si="15"/>
        <v>0.57207718501702609</v>
      </c>
    </row>
    <row r="106" spans="1:6" x14ac:dyDescent="0.3">
      <c r="A106">
        <f t="shared" si="13"/>
        <v>2019</v>
      </c>
      <c r="B106" s="179">
        <v>43525</v>
      </c>
      <c r="C106" s="18">
        <v>82</v>
      </c>
      <c r="D106" s="19">
        <f t="shared" si="14"/>
        <v>140.5</v>
      </c>
      <c r="E106" s="18">
        <v>222.5</v>
      </c>
      <c r="F106" s="295">
        <f t="shared" si="15"/>
        <v>0.36853932584269661</v>
      </c>
    </row>
    <row r="107" spans="1:6" x14ac:dyDescent="0.3">
      <c r="A107">
        <f t="shared" si="13"/>
        <v>2019</v>
      </c>
      <c r="B107" s="179">
        <v>43617</v>
      </c>
      <c r="C107" s="186">
        <v>257.60000000000002</v>
      </c>
      <c r="D107" s="187">
        <f t="shared" si="14"/>
        <v>120.09999999999997</v>
      </c>
      <c r="E107" s="186">
        <v>377.7</v>
      </c>
      <c r="F107" s="188">
        <f t="shared" si="15"/>
        <v>0.68202276939369877</v>
      </c>
    </row>
    <row r="108" spans="1:6" x14ac:dyDescent="0.3">
      <c r="A108">
        <f t="shared" si="13"/>
        <v>2019</v>
      </c>
      <c r="B108" s="179">
        <v>43709</v>
      </c>
      <c r="C108" s="296">
        <v>219.6</v>
      </c>
      <c r="D108" s="297">
        <f t="shared" si="14"/>
        <v>150.70000000000002</v>
      </c>
      <c r="E108" s="42">
        <v>370.3</v>
      </c>
      <c r="F108" s="298">
        <f t="shared" si="15"/>
        <v>0.59303267620847955</v>
      </c>
    </row>
    <row r="109" spans="1:6" x14ac:dyDescent="0.3">
      <c r="A109">
        <f t="shared" si="13"/>
        <v>2019</v>
      </c>
      <c r="B109" s="179">
        <v>43800</v>
      </c>
      <c r="C109" s="186">
        <v>190.1</v>
      </c>
      <c r="D109" s="187">
        <f t="shared" si="14"/>
        <v>224.1</v>
      </c>
      <c r="E109" s="186">
        <v>414.2</v>
      </c>
      <c r="F109" s="188">
        <f t="shared" si="15"/>
        <v>0.4589570255915017</v>
      </c>
    </row>
    <row r="110" spans="1:6" x14ac:dyDescent="0.3">
      <c r="A110">
        <f t="shared" si="13"/>
        <v>2020</v>
      </c>
      <c r="B110" s="179">
        <v>43891</v>
      </c>
      <c r="C110" s="18">
        <v>104.5</v>
      </c>
      <c r="D110" s="19">
        <f t="shared" si="14"/>
        <v>136.9</v>
      </c>
      <c r="E110" s="18">
        <v>241.4</v>
      </c>
      <c r="F110" s="295">
        <f t="shared" si="15"/>
        <v>0.43289146644573323</v>
      </c>
    </row>
    <row r="111" spans="1:6" x14ac:dyDescent="0.3">
      <c r="A111">
        <f t="shared" si="13"/>
        <v>2020</v>
      </c>
      <c r="B111" s="179">
        <v>43983</v>
      </c>
      <c r="C111" s="186">
        <v>81.3</v>
      </c>
      <c r="D111" s="187">
        <f t="shared" si="14"/>
        <v>155.60000000000002</v>
      </c>
      <c r="E111" s="186">
        <v>236.9</v>
      </c>
      <c r="F111" s="188">
        <f t="shared" si="15"/>
        <v>0.3431827775432672</v>
      </c>
    </row>
    <row r="112" spans="1:6" x14ac:dyDescent="0.3">
      <c r="A112">
        <f t="shared" si="13"/>
        <v>2020</v>
      </c>
      <c r="B112" s="179">
        <v>44075</v>
      </c>
      <c r="C112" s="296">
        <v>78.5</v>
      </c>
      <c r="D112" s="19">
        <v>145.5</v>
      </c>
      <c r="E112" s="18">
        <v>224</v>
      </c>
      <c r="F112" s="295">
        <v>0.35044642857142855</v>
      </c>
    </row>
    <row r="113" spans="1:6" x14ac:dyDescent="0.3">
      <c r="A113">
        <f t="shared" si="13"/>
        <v>2020</v>
      </c>
      <c r="B113" s="179">
        <v>44166</v>
      </c>
      <c r="C113" s="186">
        <v>152.4</v>
      </c>
      <c r="D113" s="187">
        <v>139.9</v>
      </c>
      <c r="E113" s="186">
        <v>292.39999999999998</v>
      </c>
      <c r="F113" s="188">
        <v>0.4509419152276295</v>
      </c>
    </row>
    <row r="114" spans="1:6" x14ac:dyDescent="0.3">
      <c r="A114">
        <f t="shared" si="13"/>
        <v>2021</v>
      </c>
      <c r="B114" s="179">
        <v>44256</v>
      </c>
      <c r="C114" s="296">
        <v>85.7</v>
      </c>
      <c r="D114" s="19">
        <f t="shared" si="14"/>
        <v>116.89999999999999</v>
      </c>
      <c r="E114" s="18">
        <v>202.6</v>
      </c>
      <c r="F114" s="295">
        <f t="shared" si="15"/>
        <v>0.42300098716683121</v>
      </c>
    </row>
    <row r="115" spans="1:6" x14ac:dyDescent="0.3">
      <c r="A115">
        <f t="shared" si="13"/>
        <v>2021</v>
      </c>
      <c r="B115" s="179">
        <v>44348</v>
      </c>
      <c r="C115" s="186">
        <v>125.3</v>
      </c>
      <c r="D115" s="187">
        <f t="shared" si="14"/>
        <v>155.30000000000001</v>
      </c>
      <c r="E115" s="186">
        <v>280.60000000000002</v>
      </c>
      <c r="F115" s="188">
        <f t="shared" si="15"/>
        <v>0.44654312188168205</v>
      </c>
    </row>
    <row r="116" spans="1:6" x14ac:dyDescent="0.3">
      <c r="A116">
        <f t="shared" si="13"/>
        <v>2021</v>
      </c>
      <c r="B116" s="179">
        <v>44440</v>
      </c>
      <c r="C116" s="296">
        <v>123.8</v>
      </c>
      <c r="D116" s="19">
        <f t="shared" si="14"/>
        <v>172.5</v>
      </c>
      <c r="E116" s="18">
        <v>296.3</v>
      </c>
      <c r="F116" s="295">
        <f t="shared" si="15"/>
        <v>0.4178197772527843</v>
      </c>
    </row>
    <row r="117" spans="1:6" x14ac:dyDescent="0.3">
      <c r="A117">
        <f t="shared" si="13"/>
        <v>2021</v>
      </c>
      <c r="B117" s="240">
        <v>44531</v>
      </c>
      <c r="C117" s="186">
        <v>154</v>
      </c>
      <c r="D117" s="187">
        <f t="shared" si="14"/>
        <v>197.60000000000002</v>
      </c>
      <c r="E117" s="186">
        <v>351.6</v>
      </c>
      <c r="F117" s="188">
        <f t="shared" si="15"/>
        <v>0.43799772468714443</v>
      </c>
    </row>
    <row r="118" spans="1:6" x14ac:dyDescent="0.3">
      <c r="A118">
        <f t="shared" si="13"/>
        <v>2022</v>
      </c>
      <c r="B118" s="179">
        <v>44621</v>
      </c>
      <c r="C118" s="296">
        <v>164.4</v>
      </c>
      <c r="D118" s="19">
        <f t="shared" si="14"/>
        <v>90.6</v>
      </c>
      <c r="E118" s="18">
        <v>255</v>
      </c>
      <c r="F118" s="295">
        <f t="shared" si="15"/>
        <v>0.64470588235294124</v>
      </c>
    </row>
    <row r="119" spans="1:6" x14ac:dyDescent="0.3">
      <c r="A119">
        <f t="shared" si="13"/>
        <v>2022</v>
      </c>
      <c r="B119" s="240">
        <v>44713</v>
      </c>
      <c r="C119" s="186">
        <v>124.8</v>
      </c>
      <c r="D119" s="187">
        <f t="shared" si="14"/>
        <v>120.3</v>
      </c>
      <c r="E119" s="186">
        <v>245.1</v>
      </c>
      <c r="F119" s="188">
        <f t="shared" si="15"/>
        <v>0.50917992656058753</v>
      </c>
    </row>
    <row r="120" spans="1:6" x14ac:dyDescent="0.3">
      <c r="A120">
        <f t="shared" si="13"/>
        <v>2022</v>
      </c>
      <c r="B120" s="179">
        <v>44805</v>
      </c>
      <c r="C120" s="296">
        <v>75.7</v>
      </c>
      <c r="D120" s="19">
        <f t="shared" si="14"/>
        <v>150.39999999999998</v>
      </c>
      <c r="E120" s="18">
        <v>226.1</v>
      </c>
      <c r="F120" s="295">
        <f t="shared" si="15"/>
        <v>0.33480760725342773</v>
      </c>
    </row>
    <row r="121" spans="1:6" x14ac:dyDescent="0.3">
      <c r="A121">
        <f t="shared" si="13"/>
        <v>2022</v>
      </c>
      <c r="B121" s="240">
        <v>44896</v>
      </c>
      <c r="C121" s="186">
        <v>80.5</v>
      </c>
      <c r="D121" s="187">
        <f t="shared" si="14"/>
        <v>164.1</v>
      </c>
      <c r="E121" s="186">
        <v>244.6</v>
      </c>
      <c r="F121" s="188">
        <f t="shared" si="15"/>
        <v>0.32910874897792314</v>
      </c>
    </row>
    <row r="122" spans="1:6" x14ac:dyDescent="0.3">
      <c r="A122">
        <f t="shared" si="13"/>
        <v>2023</v>
      </c>
      <c r="B122" s="179">
        <v>44986</v>
      </c>
      <c r="C122" s="296">
        <v>96.7</v>
      </c>
      <c r="D122" s="19">
        <f t="shared" si="14"/>
        <v>110.10000000000001</v>
      </c>
      <c r="E122" s="18">
        <v>206.8</v>
      </c>
      <c r="F122" s="295">
        <f t="shared" si="15"/>
        <v>0.4676015473887814</v>
      </c>
    </row>
    <row r="123" spans="1:6" x14ac:dyDescent="0.3">
      <c r="A123">
        <f t="shared" si="13"/>
        <v>2023</v>
      </c>
      <c r="B123" s="240">
        <v>45078</v>
      </c>
      <c r="C123" s="186">
        <v>101.4</v>
      </c>
      <c r="D123" s="187">
        <f t="shared" si="14"/>
        <v>130</v>
      </c>
      <c r="E123" s="186">
        <v>231.4</v>
      </c>
      <c r="F123" s="188">
        <f t="shared" si="15"/>
        <v>0.43820224719101125</v>
      </c>
    </row>
    <row r="124" spans="1:6" x14ac:dyDescent="0.3">
      <c r="A124">
        <f t="shared" si="13"/>
        <v>2023</v>
      </c>
      <c r="B124" s="179">
        <v>45170</v>
      </c>
      <c r="C124" s="296">
        <v>167.3</v>
      </c>
      <c r="D124" s="19">
        <f t="shared" si="14"/>
        <v>161.5</v>
      </c>
      <c r="E124" s="18">
        <v>328.8</v>
      </c>
      <c r="F124" s="295">
        <f t="shared" si="15"/>
        <v>0.50881995133819957</v>
      </c>
    </row>
    <row r="125" spans="1:6" x14ac:dyDescent="0.3">
      <c r="A125">
        <f t="shared" si="13"/>
        <v>2023</v>
      </c>
      <c r="B125" s="240">
        <v>45261</v>
      </c>
      <c r="C125" s="186">
        <v>116</v>
      </c>
      <c r="D125" s="187">
        <f t="shared" si="14"/>
        <v>177.89999999999998</v>
      </c>
      <c r="E125" s="186">
        <v>293.89999999999998</v>
      </c>
      <c r="F125" s="188">
        <f t="shared" si="15"/>
        <v>0.39469207213337876</v>
      </c>
    </row>
    <row r="126" spans="1:6" x14ac:dyDescent="0.3">
      <c r="A126">
        <f t="shared" si="13"/>
        <v>2024</v>
      </c>
      <c r="B126" s="179">
        <v>45352</v>
      </c>
      <c r="C126" s="296">
        <v>164.3</v>
      </c>
      <c r="D126" s="19">
        <f t="shared" si="14"/>
        <v>172.59999999999997</v>
      </c>
      <c r="E126" s="18">
        <v>336.9</v>
      </c>
      <c r="F126" s="295">
        <f t="shared" si="15"/>
        <v>0.48768180468981903</v>
      </c>
    </row>
    <row r="127" spans="1:6" ht="15" thickBot="1" x14ac:dyDescent="0.35">
      <c r="A127">
        <f t="shared" si="13"/>
        <v>2024</v>
      </c>
      <c r="B127" s="249">
        <v>45444</v>
      </c>
      <c r="C127" s="202">
        <v>121.1</v>
      </c>
      <c r="D127" s="203">
        <f t="shared" si="14"/>
        <v>173.20000000000002</v>
      </c>
      <c r="E127" s="202">
        <v>294.3</v>
      </c>
      <c r="F127" s="204">
        <f t="shared" si="15"/>
        <v>0.41148487937478762</v>
      </c>
    </row>
    <row r="128" spans="1:6" x14ac:dyDescent="0.3">
      <c r="A128">
        <f t="shared" si="13"/>
        <v>1900</v>
      </c>
    </row>
    <row r="129" spans="1:1" x14ac:dyDescent="0.3">
      <c r="A129">
        <f t="shared" si="13"/>
        <v>1900</v>
      </c>
    </row>
    <row r="130" spans="1:1" x14ac:dyDescent="0.3">
      <c r="A130">
        <f t="shared" si="13"/>
        <v>1900</v>
      </c>
    </row>
    <row r="131" spans="1:1" x14ac:dyDescent="0.3">
      <c r="A131">
        <f t="shared" si="13"/>
        <v>1900</v>
      </c>
    </row>
    <row r="132" spans="1:1" x14ac:dyDescent="0.3">
      <c r="A132">
        <f t="shared" si="13"/>
        <v>1900</v>
      </c>
    </row>
    <row r="133" spans="1:1" x14ac:dyDescent="0.3">
      <c r="A133">
        <f t="shared" si="13"/>
        <v>1900</v>
      </c>
    </row>
    <row r="134" spans="1:1" x14ac:dyDescent="0.3">
      <c r="A134">
        <f t="shared" si="13"/>
        <v>1900</v>
      </c>
    </row>
    <row r="135" spans="1:1" x14ac:dyDescent="0.3">
      <c r="A135">
        <f t="shared" si="13"/>
        <v>1900</v>
      </c>
    </row>
    <row r="136" spans="1:1" x14ac:dyDescent="0.3">
      <c r="A136">
        <f t="shared" ref="A136:A199" si="16">YEAR(B136)</f>
        <v>1900</v>
      </c>
    </row>
    <row r="137" spans="1:1" x14ac:dyDescent="0.3">
      <c r="A137">
        <f t="shared" si="16"/>
        <v>1900</v>
      </c>
    </row>
    <row r="138" spans="1:1" x14ac:dyDescent="0.3">
      <c r="A138">
        <f t="shared" si="16"/>
        <v>1900</v>
      </c>
    </row>
    <row r="139" spans="1:1" x14ac:dyDescent="0.3">
      <c r="A139">
        <f t="shared" si="16"/>
        <v>1900</v>
      </c>
    </row>
    <row r="140" spans="1:1" x14ac:dyDescent="0.3">
      <c r="A140">
        <f t="shared" si="16"/>
        <v>1900</v>
      </c>
    </row>
    <row r="141" spans="1:1" x14ac:dyDescent="0.3">
      <c r="A141">
        <f t="shared" si="16"/>
        <v>1900</v>
      </c>
    </row>
    <row r="142" spans="1:1" x14ac:dyDescent="0.3">
      <c r="A142">
        <f t="shared" si="16"/>
        <v>1900</v>
      </c>
    </row>
    <row r="143" spans="1:1" x14ac:dyDescent="0.3">
      <c r="A143">
        <f t="shared" si="16"/>
        <v>1900</v>
      </c>
    </row>
    <row r="144" spans="1:1" x14ac:dyDescent="0.3">
      <c r="A144">
        <f t="shared" si="16"/>
        <v>1900</v>
      </c>
    </row>
    <row r="145" spans="1:1" x14ac:dyDescent="0.3">
      <c r="A145">
        <f t="shared" si="16"/>
        <v>1900</v>
      </c>
    </row>
    <row r="146" spans="1:1" x14ac:dyDescent="0.3">
      <c r="A146">
        <f t="shared" si="16"/>
        <v>1900</v>
      </c>
    </row>
    <row r="147" spans="1:1" x14ac:dyDescent="0.3">
      <c r="A147">
        <f t="shared" si="16"/>
        <v>1900</v>
      </c>
    </row>
    <row r="148" spans="1:1" x14ac:dyDescent="0.3">
      <c r="A148">
        <f t="shared" si="16"/>
        <v>1900</v>
      </c>
    </row>
    <row r="149" spans="1:1" x14ac:dyDescent="0.3">
      <c r="A149">
        <f t="shared" si="16"/>
        <v>1900</v>
      </c>
    </row>
    <row r="150" spans="1:1" x14ac:dyDescent="0.3">
      <c r="A150">
        <f t="shared" si="16"/>
        <v>1900</v>
      </c>
    </row>
    <row r="151" spans="1:1" x14ac:dyDescent="0.3">
      <c r="A151">
        <f t="shared" si="16"/>
        <v>1900</v>
      </c>
    </row>
    <row r="152" spans="1:1" x14ac:dyDescent="0.3">
      <c r="A152">
        <f t="shared" si="16"/>
        <v>1900</v>
      </c>
    </row>
    <row r="153" spans="1:1" x14ac:dyDescent="0.3">
      <c r="A153">
        <f t="shared" si="16"/>
        <v>1900</v>
      </c>
    </row>
    <row r="154" spans="1:1" x14ac:dyDescent="0.3">
      <c r="A154">
        <f t="shared" si="16"/>
        <v>1900</v>
      </c>
    </row>
    <row r="155" spans="1:1" x14ac:dyDescent="0.3">
      <c r="A155">
        <f t="shared" si="16"/>
        <v>1900</v>
      </c>
    </row>
    <row r="156" spans="1:1" x14ac:dyDescent="0.3">
      <c r="A156">
        <f t="shared" si="16"/>
        <v>1900</v>
      </c>
    </row>
    <row r="157" spans="1:1" x14ac:dyDescent="0.3">
      <c r="A157">
        <f t="shared" si="16"/>
        <v>1900</v>
      </c>
    </row>
    <row r="158" spans="1:1" x14ac:dyDescent="0.3">
      <c r="A158">
        <f t="shared" si="16"/>
        <v>1900</v>
      </c>
    </row>
    <row r="159" spans="1:1" x14ac:dyDescent="0.3">
      <c r="A159">
        <f t="shared" si="16"/>
        <v>1900</v>
      </c>
    </row>
    <row r="160" spans="1:1" x14ac:dyDescent="0.3">
      <c r="A160">
        <f t="shared" si="16"/>
        <v>1900</v>
      </c>
    </row>
    <row r="161" spans="1:1" x14ac:dyDescent="0.3">
      <c r="A161">
        <f t="shared" si="16"/>
        <v>1900</v>
      </c>
    </row>
    <row r="162" spans="1:1" x14ac:dyDescent="0.3">
      <c r="A162">
        <f t="shared" si="16"/>
        <v>1900</v>
      </c>
    </row>
    <row r="163" spans="1:1" x14ac:dyDescent="0.3">
      <c r="A163">
        <f t="shared" si="16"/>
        <v>1900</v>
      </c>
    </row>
    <row r="164" spans="1:1" x14ac:dyDescent="0.3">
      <c r="A164">
        <f t="shared" si="16"/>
        <v>1900</v>
      </c>
    </row>
    <row r="165" spans="1:1" x14ac:dyDescent="0.3">
      <c r="A165">
        <f t="shared" si="16"/>
        <v>1900</v>
      </c>
    </row>
    <row r="166" spans="1:1" x14ac:dyDescent="0.3">
      <c r="A166">
        <f t="shared" si="16"/>
        <v>1900</v>
      </c>
    </row>
    <row r="167" spans="1:1" x14ac:dyDescent="0.3">
      <c r="A167">
        <f t="shared" si="16"/>
        <v>1900</v>
      </c>
    </row>
    <row r="168" spans="1:1" x14ac:dyDescent="0.3">
      <c r="A168">
        <f t="shared" si="16"/>
        <v>1900</v>
      </c>
    </row>
    <row r="169" spans="1:1" x14ac:dyDescent="0.3">
      <c r="A169">
        <f t="shared" si="16"/>
        <v>1900</v>
      </c>
    </row>
    <row r="170" spans="1:1" x14ac:dyDescent="0.3">
      <c r="A170">
        <f t="shared" si="16"/>
        <v>1900</v>
      </c>
    </row>
    <row r="171" spans="1:1" x14ac:dyDescent="0.3">
      <c r="A171">
        <f t="shared" si="16"/>
        <v>1900</v>
      </c>
    </row>
    <row r="172" spans="1:1" x14ac:dyDescent="0.3">
      <c r="A172">
        <f t="shared" si="16"/>
        <v>1900</v>
      </c>
    </row>
    <row r="173" spans="1:1" x14ac:dyDescent="0.3">
      <c r="A173">
        <f t="shared" si="16"/>
        <v>1900</v>
      </c>
    </row>
    <row r="174" spans="1:1" x14ac:dyDescent="0.3">
      <c r="A174">
        <f t="shared" si="16"/>
        <v>1900</v>
      </c>
    </row>
    <row r="175" spans="1:1" x14ac:dyDescent="0.3">
      <c r="A175">
        <f t="shared" si="16"/>
        <v>1900</v>
      </c>
    </row>
    <row r="176" spans="1:1" x14ac:dyDescent="0.3">
      <c r="A176">
        <f t="shared" si="16"/>
        <v>1900</v>
      </c>
    </row>
    <row r="177" spans="1:1" x14ac:dyDescent="0.3">
      <c r="A177">
        <f t="shared" si="16"/>
        <v>1900</v>
      </c>
    </row>
    <row r="178" spans="1:1" x14ac:dyDescent="0.3">
      <c r="A178">
        <f t="shared" si="16"/>
        <v>1900</v>
      </c>
    </row>
    <row r="179" spans="1:1" x14ac:dyDescent="0.3">
      <c r="A179">
        <f t="shared" si="16"/>
        <v>1900</v>
      </c>
    </row>
    <row r="180" spans="1:1" x14ac:dyDescent="0.3">
      <c r="A180">
        <f t="shared" si="16"/>
        <v>1900</v>
      </c>
    </row>
    <row r="181" spans="1:1" x14ac:dyDescent="0.3">
      <c r="A181">
        <f t="shared" si="16"/>
        <v>1900</v>
      </c>
    </row>
    <row r="182" spans="1:1" x14ac:dyDescent="0.3">
      <c r="A182">
        <f t="shared" si="16"/>
        <v>1900</v>
      </c>
    </row>
    <row r="183" spans="1:1" x14ac:dyDescent="0.3">
      <c r="A183">
        <f t="shared" si="16"/>
        <v>1900</v>
      </c>
    </row>
    <row r="184" spans="1:1" x14ac:dyDescent="0.3">
      <c r="A184">
        <f t="shared" si="16"/>
        <v>1900</v>
      </c>
    </row>
    <row r="185" spans="1:1" x14ac:dyDescent="0.3">
      <c r="A185">
        <f t="shared" si="16"/>
        <v>1900</v>
      </c>
    </row>
    <row r="186" spans="1:1" x14ac:dyDescent="0.3">
      <c r="A186">
        <f t="shared" si="16"/>
        <v>1900</v>
      </c>
    </row>
    <row r="187" spans="1:1" x14ac:dyDescent="0.3">
      <c r="A187">
        <f t="shared" si="16"/>
        <v>1900</v>
      </c>
    </row>
    <row r="188" spans="1:1" x14ac:dyDescent="0.3">
      <c r="A188">
        <f t="shared" si="16"/>
        <v>1900</v>
      </c>
    </row>
    <row r="189" spans="1:1" x14ac:dyDescent="0.3">
      <c r="A189">
        <f t="shared" si="16"/>
        <v>1900</v>
      </c>
    </row>
    <row r="190" spans="1:1" x14ac:dyDescent="0.3">
      <c r="A190">
        <f t="shared" si="16"/>
        <v>1900</v>
      </c>
    </row>
    <row r="191" spans="1:1" x14ac:dyDescent="0.3">
      <c r="A191">
        <f t="shared" si="16"/>
        <v>1900</v>
      </c>
    </row>
    <row r="192" spans="1:1" x14ac:dyDescent="0.3">
      <c r="A192">
        <f t="shared" si="16"/>
        <v>1900</v>
      </c>
    </row>
    <row r="193" spans="1:1" x14ac:dyDescent="0.3">
      <c r="A193">
        <f t="shared" si="16"/>
        <v>1900</v>
      </c>
    </row>
    <row r="194" spans="1:1" x14ac:dyDescent="0.3">
      <c r="A194">
        <f t="shared" si="16"/>
        <v>1900</v>
      </c>
    </row>
    <row r="195" spans="1:1" x14ac:dyDescent="0.3">
      <c r="A195">
        <f t="shared" si="16"/>
        <v>1900</v>
      </c>
    </row>
    <row r="196" spans="1:1" x14ac:dyDescent="0.3">
      <c r="A196">
        <f t="shared" si="16"/>
        <v>1900</v>
      </c>
    </row>
    <row r="197" spans="1:1" x14ac:dyDescent="0.3">
      <c r="A197">
        <f t="shared" si="16"/>
        <v>1900</v>
      </c>
    </row>
    <row r="198" spans="1:1" x14ac:dyDescent="0.3">
      <c r="A198">
        <f t="shared" si="16"/>
        <v>1900</v>
      </c>
    </row>
    <row r="199" spans="1:1" x14ac:dyDescent="0.3">
      <c r="A199">
        <f t="shared" si="16"/>
        <v>1900</v>
      </c>
    </row>
    <row r="200" spans="1:1" x14ac:dyDescent="0.3">
      <c r="A200">
        <f t="shared" ref="A200:A263" si="17">YEAR(B200)</f>
        <v>1900</v>
      </c>
    </row>
    <row r="201" spans="1:1" x14ac:dyDescent="0.3">
      <c r="A201">
        <f t="shared" si="17"/>
        <v>1900</v>
      </c>
    </row>
    <row r="202" spans="1:1" x14ac:dyDescent="0.3">
      <c r="A202">
        <f t="shared" si="17"/>
        <v>1900</v>
      </c>
    </row>
    <row r="203" spans="1:1" x14ac:dyDescent="0.3">
      <c r="A203">
        <f t="shared" si="17"/>
        <v>1900</v>
      </c>
    </row>
    <row r="204" spans="1:1" x14ac:dyDescent="0.3">
      <c r="A204">
        <f t="shared" si="17"/>
        <v>1900</v>
      </c>
    </row>
    <row r="205" spans="1:1" x14ac:dyDescent="0.3">
      <c r="A205">
        <f t="shared" si="17"/>
        <v>1900</v>
      </c>
    </row>
    <row r="206" spans="1:1" x14ac:dyDescent="0.3">
      <c r="A206">
        <f t="shared" si="17"/>
        <v>1900</v>
      </c>
    </row>
    <row r="207" spans="1:1" x14ac:dyDescent="0.3">
      <c r="A207">
        <f t="shared" si="17"/>
        <v>1900</v>
      </c>
    </row>
    <row r="208" spans="1:1" x14ac:dyDescent="0.3">
      <c r="A208">
        <f t="shared" si="17"/>
        <v>1900</v>
      </c>
    </row>
    <row r="209" spans="1:1" x14ac:dyDescent="0.3">
      <c r="A209">
        <f t="shared" si="17"/>
        <v>1900</v>
      </c>
    </row>
    <row r="210" spans="1:1" x14ac:dyDescent="0.3">
      <c r="A210">
        <f t="shared" si="17"/>
        <v>1900</v>
      </c>
    </row>
    <row r="211" spans="1:1" x14ac:dyDescent="0.3">
      <c r="A211">
        <f t="shared" si="17"/>
        <v>1900</v>
      </c>
    </row>
    <row r="212" spans="1:1" x14ac:dyDescent="0.3">
      <c r="A212">
        <f t="shared" si="17"/>
        <v>1900</v>
      </c>
    </row>
    <row r="213" spans="1:1" x14ac:dyDescent="0.3">
      <c r="A213">
        <f t="shared" si="17"/>
        <v>1900</v>
      </c>
    </row>
    <row r="214" spans="1:1" x14ac:dyDescent="0.3">
      <c r="A214">
        <f t="shared" si="17"/>
        <v>1900</v>
      </c>
    </row>
    <row r="215" spans="1:1" x14ac:dyDescent="0.3">
      <c r="A215">
        <f t="shared" si="17"/>
        <v>1900</v>
      </c>
    </row>
    <row r="216" spans="1:1" x14ac:dyDescent="0.3">
      <c r="A216">
        <f t="shared" si="17"/>
        <v>1900</v>
      </c>
    </row>
    <row r="217" spans="1:1" x14ac:dyDescent="0.3">
      <c r="A217">
        <f t="shared" si="17"/>
        <v>1900</v>
      </c>
    </row>
    <row r="218" spans="1:1" x14ac:dyDescent="0.3">
      <c r="A218">
        <f t="shared" si="17"/>
        <v>1900</v>
      </c>
    </row>
    <row r="219" spans="1:1" x14ac:dyDescent="0.3">
      <c r="A219">
        <f t="shared" si="17"/>
        <v>1900</v>
      </c>
    </row>
    <row r="220" spans="1:1" x14ac:dyDescent="0.3">
      <c r="A220">
        <f t="shared" si="17"/>
        <v>1900</v>
      </c>
    </row>
    <row r="221" spans="1:1" x14ac:dyDescent="0.3">
      <c r="A221">
        <f t="shared" si="17"/>
        <v>1900</v>
      </c>
    </row>
    <row r="222" spans="1:1" x14ac:dyDescent="0.3">
      <c r="A222">
        <f t="shared" si="17"/>
        <v>1900</v>
      </c>
    </row>
    <row r="223" spans="1:1" x14ac:dyDescent="0.3">
      <c r="A223">
        <f t="shared" si="17"/>
        <v>1900</v>
      </c>
    </row>
    <row r="224" spans="1:1" x14ac:dyDescent="0.3">
      <c r="A224">
        <f t="shared" si="17"/>
        <v>1900</v>
      </c>
    </row>
    <row r="225" spans="1:5" x14ac:dyDescent="0.3">
      <c r="A225">
        <f t="shared" si="17"/>
        <v>1900</v>
      </c>
    </row>
    <row r="226" spans="1:5" x14ac:dyDescent="0.3">
      <c r="A226">
        <f t="shared" si="17"/>
        <v>1900</v>
      </c>
    </row>
    <row r="227" spans="1:5" x14ac:dyDescent="0.3">
      <c r="A227">
        <f t="shared" si="17"/>
        <v>1900</v>
      </c>
    </row>
    <row r="228" spans="1:5" x14ac:dyDescent="0.3">
      <c r="A228">
        <f t="shared" si="17"/>
        <v>1900</v>
      </c>
    </row>
    <row r="229" spans="1:5" x14ac:dyDescent="0.3">
      <c r="A229">
        <f t="shared" si="17"/>
        <v>1900</v>
      </c>
    </row>
    <row r="230" spans="1:5" x14ac:dyDescent="0.3">
      <c r="A230">
        <f t="shared" si="17"/>
        <v>1900</v>
      </c>
      <c r="C230" s="15"/>
      <c r="E230" s="15"/>
    </row>
    <row r="231" spans="1:5" x14ac:dyDescent="0.3">
      <c r="A231">
        <f t="shared" si="17"/>
        <v>1900</v>
      </c>
      <c r="C231" s="15"/>
      <c r="E231" s="15"/>
    </row>
    <row r="232" spans="1:5" x14ac:dyDescent="0.3">
      <c r="A232">
        <f t="shared" si="17"/>
        <v>1900</v>
      </c>
      <c r="C232" s="15"/>
      <c r="E232" s="15"/>
    </row>
    <row r="233" spans="1:5" x14ac:dyDescent="0.3">
      <c r="A233">
        <f t="shared" si="17"/>
        <v>1900</v>
      </c>
      <c r="C233" s="15"/>
      <c r="E233" s="15"/>
    </row>
    <row r="234" spans="1:5" x14ac:dyDescent="0.3">
      <c r="A234">
        <f t="shared" si="17"/>
        <v>1900</v>
      </c>
      <c r="C234" s="15"/>
      <c r="E234" s="15"/>
    </row>
    <row r="235" spans="1:5" x14ac:dyDescent="0.3">
      <c r="A235">
        <f t="shared" si="17"/>
        <v>1900</v>
      </c>
      <c r="C235" s="15"/>
      <c r="E235" s="15"/>
    </row>
    <row r="236" spans="1:5" x14ac:dyDescent="0.3">
      <c r="A236">
        <f t="shared" si="17"/>
        <v>1900</v>
      </c>
      <c r="C236" s="15"/>
      <c r="E236" s="15"/>
    </row>
    <row r="237" spans="1:5" x14ac:dyDescent="0.3">
      <c r="A237">
        <f t="shared" si="17"/>
        <v>1900</v>
      </c>
      <c r="C237" s="15"/>
      <c r="E237" s="15"/>
    </row>
    <row r="238" spans="1:5" x14ac:dyDescent="0.3">
      <c r="A238">
        <f t="shared" si="17"/>
        <v>1900</v>
      </c>
      <c r="C238" s="15"/>
      <c r="E238" s="15"/>
    </row>
    <row r="239" spans="1:5" x14ac:dyDescent="0.3">
      <c r="A239">
        <f t="shared" si="17"/>
        <v>1900</v>
      </c>
      <c r="C239" s="15"/>
      <c r="E239" s="15"/>
    </row>
    <row r="240" spans="1:5" x14ac:dyDescent="0.3">
      <c r="A240">
        <f t="shared" si="17"/>
        <v>1900</v>
      </c>
      <c r="C240" s="15"/>
      <c r="E240" s="15"/>
    </row>
    <row r="241" spans="1:5" x14ac:dyDescent="0.3">
      <c r="A241">
        <f t="shared" si="17"/>
        <v>1900</v>
      </c>
      <c r="C241" s="15"/>
      <c r="E241" s="15"/>
    </row>
    <row r="242" spans="1:5" x14ac:dyDescent="0.3">
      <c r="A242">
        <f t="shared" si="17"/>
        <v>1900</v>
      </c>
      <c r="C242" s="15"/>
      <c r="E242" s="15"/>
    </row>
    <row r="243" spans="1:5" x14ac:dyDescent="0.3">
      <c r="A243">
        <f t="shared" si="17"/>
        <v>1900</v>
      </c>
      <c r="C243" s="15"/>
      <c r="E243" s="15"/>
    </row>
    <row r="244" spans="1:5" x14ac:dyDescent="0.3">
      <c r="A244">
        <f t="shared" si="17"/>
        <v>1900</v>
      </c>
      <c r="C244" s="15"/>
      <c r="E244" s="15"/>
    </row>
    <row r="245" spans="1:5" x14ac:dyDescent="0.3">
      <c r="A245">
        <f t="shared" si="17"/>
        <v>1900</v>
      </c>
      <c r="C245" s="15"/>
      <c r="E245" s="15"/>
    </row>
    <row r="246" spans="1:5" x14ac:dyDescent="0.3">
      <c r="A246">
        <f t="shared" si="17"/>
        <v>1900</v>
      </c>
      <c r="C246" s="15"/>
      <c r="E246" s="15"/>
    </row>
    <row r="247" spans="1:5" x14ac:dyDescent="0.3">
      <c r="A247">
        <f t="shared" si="17"/>
        <v>1900</v>
      </c>
      <c r="C247" s="15"/>
      <c r="E247" s="15"/>
    </row>
    <row r="248" spans="1:5" x14ac:dyDescent="0.3">
      <c r="A248">
        <f t="shared" si="17"/>
        <v>1900</v>
      </c>
      <c r="C248" s="15"/>
      <c r="E248" s="15"/>
    </row>
    <row r="249" spans="1:5" x14ac:dyDescent="0.3">
      <c r="A249">
        <f t="shared" si="17"/>
        <v>1900</v>
      </c>
      <c r="C249" s="15"/>
      <c r="E249" s="15"/>
    </row>
    <row r="250" spans="1:5" x14ac:dyDescent="0.3">
      <c r="A250">
        <f t="shared" si="17"/>
        <v>1900</v>
      </c>
      <c r="C250" s="15"/>
      <c r="E250" s="15"/>
    </row>
    <row r="251" spans="1:5" x14ac:dyDescent="0.3">
      <c r="A251">
        <f t="shared" si="17"/>
        <v>1900</v>
      </c>
      <c r="C251" s="15"/>
      <c r="E251" s="15"/>
    </row>
    <row r="252" spans="1:5" x14ac:dyDescent="0.3">
      <c r="A252">
        <f t="shared" si="17"/>
        <v>1900</v>
      </c>
      <c r="C252" s="15"/>
      <c r="E252" s="15"/>
    </row>
    <row r="253" spans="1:5" x14ac:dyDescent="0.3">
      <c r="A253">
        <f t="shared" si="17"/>
        <v>1900</v>
      </c>
      <c r="C253" s="15"/>
      <c r="E253" s="15"/>
    </row>
    <row r="254" spans="1:5" x14ac:dyDescent="0.3">
      <c r="A254">
        <f t="shared" si="17"/>
        <v>1900</v>
      </c>
      <c r="C254" s="15"/>
      <c r="E254" s="15"/>
    </row>
    <row r="255" spans="1:5" x14ac:dyDescent="0.3">
      <c r="A255">
        <f t="shared" si="17"/>
        <v>1900</v>
      </c>
      <c r="C255" s="15"/>
      <c r="E255" s="15"/>
    </row>
    <row r="256" spans="1:5" x14ac:dyDescent="0.3">
      <c r="A256">
        <f t="shared" si="17"/>
        <v>1900</v>
      </c>
      <c r="C256" s="15"/>
      <c r="E256" s="15"/>
    </row>
    <row r="257" spans="1:5" x14ac:dyDescent="0.3">
      <c r="A257">
        <f t="shared" si="17"/>
        <v>1900</v>
      </c>
      <c r="C257" s="15"/>
      <c r="E257" s="15"/>
    </row>
    <row r="258" spans="1:5" x14ac:dyDescent="0.3">
      <c r="A258">
        <f t="shared" si="17"/>
        <v>1900</v>
      </c>
      <c r="C258" s="15"/>
      <c r="E258" s="15"/>
    </row>
    <row r="259" spans="1:5" x14ac:dyDescent="0.3">
      <c r="A259">
        <f t="shared" si="17"/>
        <v>1900</v>
      </c>
      <c r="C259" s="15"/>
      <c r="E259" s="15"/>
    </row>
    <row r="260" spans="1:5" x14ac:dyDescent="0.3">
      <c r="A260">
        <f t="shared" si="17"/>
        <v>1900</v>
      </c>
      <c r="C260" s="15"/>
      <c r="E260" s="15"/>
    </row>
    <row r="261" spans="1:5" x14ac:dyDescent="0.3">
      <c r="A261">
        <f t="shared" si="17"/>
        <v>1900</v>
      </c>
      <c r="C261" s="15"/>
      <c r="E261" s="15"/>
    </row>
    <row r="262" spans="1:5" x14ac:dyDescent="0.3">
      <c r="A262">
        <f t="shared" si="17"/>
        <v>1900</v>
      </c>
      <c r="C262" s="15"/>
      <c r="E262" s="15"/>
    </row>
    <row r="263" spans="1:5" x14ac:dyDescent="0.3">
      <c r="A263">
        <f t="shared" si="17"/>
        <v>1900</v>
      </c>
      <c r="C263" s="15"/>
      <c r="E263" s="15"/>
    </row>
    <row r="264" spans="1:5" x14ac:dyDescent="0.3">
      <c r="A264">
        <f t="shared" ref="A264:A327" si="18">YEAR(B264)</f>
        <v>1900</v>
      </c>
      <c r="C264" s="15"/>
      <c r="E264" s="15"/>
    </row>
    <row r="265" spans="1:5" x14ac:dyDescent="0.3">
      <c r="A265">
        <f t="shared" si="18"/>
        <v>1900</v>
      </c>
      <c r="C265" s="15"/>
      <c r="E265" s="15"/>
    </row>
    <row r="266" spans="1:5" x14ac:dyDescent="0.3">
      <c r="A266">
        <f t="shared" si="18"/>
        <v>1900</v>
      </c>
      <c r="C266" s="15"/>
      <c r="E266" s="15"/>
    </row>
    <row r="267" spans="1:5" x14ac:dyDescent="0.3">
      <c r="A267">
        <f t="shared" si="18"/>
        <v>1900</v>
      </c>
      <c r="C267" s="15"/>
      <c r="E267" s="15"/>
    </row>
    <row r="268" spans="1:5" x14ac:dyDescent="0.3">
      <c r="A268">
        <f t="shared" si="18"/>
        <v>1900</v>
      </c>
      <c r="C268" s="15"/>
      <c r="E268" s="15"/>
    </row>
    <row r="269" spans="1:5" x14ac:dyDescent="0.3">
      <c r="A269">
        <f t="shared" si="18"/>
        <v>1900</v>
      </c>
      <c r="C269" s="15"/>
      <c r="E269" s="15"/>
    </row>
    <row r="270" spans="1:5" x14ac:dyDescent="0.3">
      <c r="A270">
        <f t="shared" si="18"/>
        <v>1900</v>
      </c>
      <c r="C270" s="15"/>
      <c r="E270" s="15"/>
    </row>
    <row r="271" spans="1:5" x14ac:dyDescent="0.3">
      <c r="A271">
        <f t="shared" si="18"/>
        <v>1900</v>
      </c>
      <c r="C271" s="15"/>
      <c r="E271" s="15"/>
    </row>
    <row r="272" spans="1:5" x14ac:dyDescent="0.3">
      <c r="A272">
        <f t="shared" si="18"/>
        <v>1900</v>
      </c>
      <c r="C272" s="15"/>
      <c r="E272" s="15"/>
    </row>
    <row r="273" spans="1:5" x14ac:dyDescent="0.3">
      <c r="A273">
        <f t="shared" si="18"/>
        <v>1900</v>
      </c>
      <c r="C273" s="15"/>
      <c r="E273" s="15"/>
    </row>
    <row r="274" spans="1:5" x14ac:dyDescent="0.3">
      <c r="A274">
        <f t="shared" si="18"/>
        <v>1900</v>
      </c>
      <c r="C274" s="15"/>
      <c r="E274" s="15"/>
    </row>
    <row r="275" spans="1:5" x14ac:dyDescent="0.3">
      <c r="A275">
        <f t="shared" si="18"/>
        <v>1900</v>
      </c>
      <c r="C275" s="15"/>
      <c r="E275" s="15"/>
    </row>
    <row r="276" spans="1:5" x14ac:dyDescent="0.3">
      <c r="A276">
        <f t="shared" si="18"/>
        <v>1900</v>
      </c>
      <c r="C276" s="15"/>
      <c r="E276" s="15"/>
    </row>
    <row r="277" spans="1:5" x14ac:dyDescent="0.3">
      <c r="A277">
        <f t="shared" si="18"/>
        <v>1900</v>
      </c>
      <c r="C277" s="15"/>
      <c r="E277" s="15"/>
    </row>
    <row r="278" spans="1:5" x14ac:dyDescent="0.3">
      <c r="A278">
        <f t="shared" si="18"/>
        <v>1900</v>
      </c>
      <c r="C278" s="15"/>
      <c r="E278" s="15"/>
    </row>
    <row r="279" spans="1:5" x14ac:dyDescent="0.3">
      <c r="A279">
        <f t="shared" si="18"/>
        <v>1900</v>
      </c>
      <c r="C279" s="15"/>
      <c r="E279" s="15"/>
    </row>
    <row r="280" spans="1:5" x14ac:dyDescent="0.3">
      <c r="A280">
        <f t="shared" si="18"/>
        <v>1900</v>
      </c>
      <c r="C280" s="15"/>
      <c r="E280" s="15"/>
    </row>
    <row r="281" spans="1:5" x14ac:dyDescent="0.3">
      <c r="A281">
        <f t="shared" si="18"/>
        <v>1900</v>
      </c>
      <c r="C281" s="15"/>
      <c r="E281" s="15"/>
    </row>
    <row r="282" spans="1:5" x14ac:dyDescent="0.3">
      <c r="A282">
        <f t="shared" si="18"/>
        <v>1900</v>
      </c>
      <c r="C282" s="15"/>
      <c r="E282" s="15"/>
    </row>
    <row r="283" spans="1:5" x14ac:dyDescent="0.3">
      <c r="A283">
        <f t="shared" si="18"/>
        <v>1900</v>
      </c>
      <c r="C283" s="15"/>
      <c r="E283" s="15"/>
    </row>
    <row r="284" spans="1:5" x14ac:dyDescent="0.3">
      <c r="A284">
        <f t="shared" si="18"/>
        <v>1900</v>
      </c>
      <c r="C284" s="15"/>
      <c r="E284" s="15"/>
    </row>
    <row r="285" spans="1:5" x14ac:dyDescent="0.3">
      <c r="A285">
        <f t="shared" si="18"/>
        <v>1900</v>
      </c>
      <c r="C285" s="15"/>
      <c r="E285" s="15"/>
    </row>
    <row r="286" spans="1:5" x14ac:dyDescent="0.3">
      <c r="A286">
        <f t="shared" si="18"/>
        <v>1900</v>
      </c>
      <c r="C286" s="15"/>
      <c r="E286" s="15"/>
    </row>
    <row r="287" spans="1:5" x14ac:dyDescent="0.3">
      <c r="A287">
        <f t="shared" si="18"/>
        <v>1900</v>
      </c>
      <c r="C287" s="15"/>
      <c r="E287" s="15"/>
    </row>
    <row r="288" spans="1:5" x14ac:dyDescent="0.3">
      <c r="A288">
        <f t="shared" si="18"/>
        <v>1900</v>
      </c>
      <c r="C288" s="15"/>
      <c r="E288" s="15"/>
    </row>
    <row r="289" spans="1:5" x14ac:dyDescent="0.3">
      <c r="A289">
        <f t="shared" si="18"/>
        <v>1900</v>
      </c>
      <c r="C289" s="15"/>
      <c r="E289" s="15"/>
    </row>
    <row r="290" spans="1:5" x14ac:dyDescent="0.3">
      <c r="A290">
        <f t="shared" si="18"/>
        <v>1900</v>
      </c>
      <c r="C290" s="15"/>
      <c r="E290" s="15"/>
    </row>
    <row r="291" spans="1:5" x14ac:dyDescent="0.3">
      <c r="A291">
        <f t="shared" si="18"/>
        <v>1900</v>
      </c>
      <c r="C291" s="15"/>
      <c r="E291" s="15"/>
    </row>
    <row r="292" spans="1:5" x14ac:dyDescent="0.3">
      <c r="A292">
        <f t="shared" si="18"/>
        <v>1900</v>
      </c>
      <c r="C292" s="15"/>
      <c r="E292" s="15"/>
    </row>
    <row r="293" spans="1:5" x14ac:dyDescent="0.3">
      <c r="A293">
        <f t="shared" si="18"/>
        <v>1900</v>
      </c>
      <c r="C293" s="15"/>
      <c r="E293" s="15"/>
    </row>
    <row r="294" spans="1:5" x14ac:dyDescent="0.3">
      <c r="A294">
        <f t="shared" si="18"/>
        <v>1900</v>
      </c>
      <c r="C294" s="15"/>
      <c r="E294" s="15"/>
    </row>
    <row r="295" spans="1:5" x14ac:dyDescent="0.3">
      <c r="A295">
        <f t="shared" si="18"/>
        <v>1900</v>
      </c>
      <c r="C295" s="15"/>
      <c r="E295" s="15"/>
    </row>
    <row r="296" spans="1:5" x14ac:dyDescent="0.3">
      <c r="A296">
        <f t="shared" si="18"/>
        <v>1900</v>
      </c>
      <c r="C296" s="15"/>
      <c r="E296" s="15"/>
    </row>
    <row r="297" spans="1:5" x14ac:dyDescent="0.3">
      <c r="A297">
        <f t="shared" si="18"/>
        <v>1900</v>
      </c>
      <c r="C297" s="15"/>
      <c r="E297" s="15"/>
    </row>
    <row r="298" spans="1:5" x14ac:dyDescent="0.3">
      <c r="A298">
        <f t="shared" si="18"/>
        <v>1900</v>
      </c>
      <c r="C298" s="15"/>
      <c r="E298" s="15"/>
    </row>
    <row r="299" spans="1:5" x14ac:dyDescent="0.3">
      <c r="A299">
        <f t="shared" si="18"/>
        <v>1900</v>
      </c>
      <c r="C299" s="15"/>
      <c r="E299" s="15"/>
    </row>
    <row r="300" spans="1:5" x14ac:dyDescent="0.3">
      <c r="A300">
        <f t="shared" si="18"/>
        <v>1900</v>
      </c>
      <c r="C300" s="15"/>
      <c r="E300" s="15"/>
    </row>
    <row r="301" spans="1:5" x14ac:dyDescent="0.3">
      <c r="A301">
        <f t="shared" si="18"/>
        <v>1900</v>
      </c>
      <c r="C301" s="15"/>
      <c r="E301" s="15"/>
    </row>
    <row r="302" spans="1:5" x14ac:dyDescent="0.3">
      <c r="A302">
        <f t="shared" si="18"/>
        <v>1900</v>
      </c>
      <c r="C302" s="15"/>
      <c r="E302" s="15"/>
    </row>
    <row r="303" spans="1:5" x14ac:dyDescent="0.3">
      <c r="A303">
        <f t="shared" si="18"/>
        <v>1900</v>
      </c>
      <c r="C303" s="15"/>
      <c r="E303" s="15"/>
    </row>
    <row r="304" spans="1:5" x14ac:dyDescent="0.3">
      <c r="A304">
        <f t="shared" si="18"/>
        <v>1900</v>
      </c>
      <c r="C304" s="15"/>
      <c r="E304" s="15"/>
    </row>
    <row r="305" spans="1:5" x14ac:dyDescent="0.3">
      <c r="A305">
        <f t="shared" si="18"/>
        <v>1900</v>
      </c>
      <c r="C305" s="15"/>
      <c r="E305" s="15"/>
    </row>
    <row r="306" spans="1:5" x14ac:dyDescent="0.3">
      <c r="A306">
        <f t="shared" si="18"/>
        <v>1900</v>
      </c>
      <c r="C306" s="15"/>
      <c r="E306" s="15"/>
    </row>
    <row r="307" spans="1:5" x14ac:dyDescent="0.3">
      <c r="A307">
        <f t="shared" si="18"/>
        <v>1900</v>
      </c>
      <c r="C307" s="15"/>
      <c r="E307" s="15"/>
    </row>
    <row r="308" spans="1:5" x14ac:dyDescent="0.3">
      <c r="A308">
        <f t="shared" si="18"/>
        <v>1900</v>
      </c>
      <c r="C308" s="15"/>
      <c r="E308" s="15"/>
    </row>
    <row r="309" spans="1:5" x14ac:dyDescent="0.3">
      <c r="A309">
        <f t="shared" si="18"/>
        <v>1900</v>
      </c>
      <c r="C309" s="15"/>
      <c r="E309" s="15"/>
    </row>
    <row r="310" spans="1:5" x14ac:dyDescent="0.3">
      <c r="A310">
        <f t="shared" si="18"/>
        <v>1900</v>
      </c>
      <c r="C310" s="15"/>
      <c r="E310" s="15"/>
    </row>
    <row r="311" spans="1:5" x14ac:dyDescent="0.3">
      <c r="A311">
        <f t="shared" si="18"/>
        <v>1900</v>
      </c>
      <c r="C311" s="15"/>
      <c r="E311" s="15"/>
    </row>
    <row r="312" spans="1:5" x14ac:dyDescent="0.3">
      <c r="A312">
        <f t="shared" si="18"/>
        <v>1900</v>
      </c>
      <c r="C312" s="15"/>
      <c r="E312" s="15"/>
    </row>
    <row r="313" spans="1:5" x14ac:dyDescent="0.3">
      <c r="A313">
        <f t="shared" si="18"/>
        <v>1900</v>
      </c>
      <c r="C313" s="15"/>
      <c r="E313" s="15"/>
    </row>
    <row r="314" spans="1:5" x14ac:dyDescent="0.3">
      <c r="A314">
        <f t="shared" si="18"/>
        <v>1900</v>
      </c>
      <c r="C314" s="15"/>
      <c r="E314" s="15"/>
    </row>
    <row r="315" spans="1:5" x14ac:dyDescent="0.3">
      <c r="A315">
        <f t="shared" si="18"/>
        <v>1900</v>
      </c>
      <c r="C315" s="15"/>
      <c r="E315" s="15"/>
    </row>
    <row r="316" spans="1:5" x14ac:dyDescent="0.3">
      <c r="A316">
        <f t="shared" si="18"/>
        <v>1900</v>
      </c>
      <c r="C316" s="15"/>
      <c r="E316" s="15"/>
    </row>
    <row r="317" spans="1:5" x14ac:dyDescent="0.3">
      <c r="A317">
        <f t="shared" si="18"/>
        <v>1900</v>
      </c>
      <c r="C317" s="15"/>
      <c r="E317" s="15"/>
    </row>
    <row r="318" spans="1:5" x14ac:dyDescent="0.3">
      <c r="A318">
        <f t="shared" si="18"/>
        <v>1900</v>
      </c>
      <c r="C318" s="15"/>
      <c r="E318" s="15"/>
    </row>
    <row r="319" spans="1:5" x14ac:dyDescent="0.3">
      <c r="A319">
        <f t="shared" si="18"/>
        <v>1900</v>
      </c>
      <c r="C319" s="15"/>
      <c r="E319" s="15"/>
    </row>
    <row r="320" spans="1:5" x14ac:dyDescent="0.3">
      <c r="A320">
        <f t="shared" si="18"/>
        <v>1900</v>
      </c>
      <c r="C320" s="15"/>
      <c r="E320" s="15"/>
    </row>
    <row r="321" spans="1:5" x14ac:dyDescent="0.3">
      <c r="A321">
        <f t="shared" si="18"/>
        <v>1900</v>
      </c>
      <c r="C321" s="15"/>
      <c r="E321" s="15"/>
    </row>
    <row r="322" spans="1:5" x14ac:dyDescent="0.3">
      <c r="A322">
        <f t="shared" si="18"/>
        <v>1900</v>
      </c>
      <c r="C322" s="15"/>
      <c r="E322" s="15"/>
    </row>
    <row r="323" spans="1:5" x14ac:dyDescent="0.3">
      <c r="A323">
        <f t="shared" si="18"/>
        <v>1900</v>
      </c>
      <c r="C323" s="15"/>
      <c r="E323" s="15"/>
    </row>
    <row r="324" spans="1:5" x14ac:dyDescent="0.3">
      <c r="A324">
        <f t="shared" si="18"/>
        <v>1900</v>
      </c>
      <c r="C324" s="15"/>
      <c r="E324" s="15"/>
    </row>
    <row r="325" spans="1:5" x14ac:dyDescent="0.3">
      <c r="A325">
        <f t="shared" si="18"/>
        <v>1900</v>
      </c>
      <c r="C325" s="15"/>
      <c r="E325" s="15"/>
    </row>
    <row r="326" spans="1:5" x14ac:dyDescent="0.3">
      <c r="A326">
        <f t="shared" si="18"/>
        <v>1900</v>
      </c>
      <c r="C326" s="15"/>
      <c r="E326" s="15"/>
    </row>
    <row r="327" spans="1:5" x14ac:dyDescent="0.3">
      <c r="A327">
        <f t="shared" si="18"/>
        <v>1900</v>
      </c>
      <c r="C327" s="15"/>
      <c r="E327" s="15"/>
    </row>
    <row r="328" spans="1:5" x14ac:dyDescent="0.3">
      <c r="A328">
        <f t="shared" ref="A328:A391" si="19">YEAR(B328)</f>
        <v>1900</v>
      </c>
      <c r="C328" s="15"/>
      <c r="E328" s="15"/>
    </row>
    <row r="329" spans="1:5" x14ac:dyDescent="0.3">
      <c r="A329">
        <f t="shared" si="19"/>
        <v>1900</v>
      </c>
      <c r="C329" s="15"/>
      <c r="E329" s="15"/>
    </row>
    <row r="330" spans="1:5" x14ac:dyDescent="0.3">
      <c r="A330">
        <f t="shared" si="19"/>
        <v>1900</v>
      </c>
      <c r="C330" s="15"/>
      <c r="E330" s="15"/>
    </row>
    <row r="331" spans="1:5" x14ac:dyDescent="0.3">
      <c r="A331">
        <f t="shared" si="19"/>
        <v>1900</v>
      </c>
      <c r="C331" s="15"/>
      <c r="E331" s="15"/>
    </row>
    <row r="332" spans="1:5" x14ac:dyDescent="0.3">
      <c r="A332">
        <f t="shared" si="19"/>
        <v>1900</v>
      </c>
      <c r="C332" s="15"/>
      <c r="E332" s="15"/>
    </row>
    <row r="333" spans="1:5" x14ac:dyDescent="0.3">
      <c r="A333">
        <f t="shared" si="19"/>
        <v>1900</v>
      </c>
      <c r="C333" s="15"/>
      <c r="E333" s="15"/>
    </row>
    <row r="334" spans="1:5" x14ac:dyDescent="0.3">
      <c r="A334">
        <f t="shared" si="19"/>
        <v>1900</v>
      </c>
      <c r="C334" s="15"/>
      <c r="E334" s="15"/>
    </row>
    <row r="335" spans="1:5" x14ac:dyDescent="0.3">
      <c r="A335">
        <f t="shared" si="19"/>
        <v>1900</v>
      </c>
      <c r="C335" s="15"/>
      <c r="E335" s="15"/>
    </row>
    <row r="336" spans="1:5" x14ac:dyDescent="0.3">
      <c r="A336">
        <f t="shared" si="19"/>
        <v>1900</v>
      </c>
      <c r="C336" s="15"/>
      <c r="E336" s="15"/>
    </row>
    <row r="337" spans="1:5" x14ac:dyDescent="0.3">
      <c r="A337">
        <f t="shared" si="19"/>
        <v>1900</v>
      </c>
      <c r="C337" s="15"/>
      <c r="E337" s="15"/>
    </row>
    <row r="338" spans="1:5" x14ac:dyDescent="0.3">
      <c r="A338">
        <f t="shared" si="19"/>
        <v>1900</v>
      </c>
      <c r="C338" s="15"/>
      <c r="E338" s="15"/>
    </row>
    <row r="339" spans="1:5" x14ac:dyDescent="0.3">
      <c r="A339">
        <f t="shared" si="19"/>
        <v>1900</v>
      </c>
      <c r="C339" s="15"/>
      <c r="E339" s="15"/>
    </row>
    <row r="340" spans="1:5" x14ac:dyDescent="0.3">
      <c r="A340">
        <f t="shared" si="19"/>
        <v>1900</v>
      </c>
      <c r="C340" s="15"/>
      <c r="E340" s="15"/>
    </row>
    <row r="341" spans="1:5" x14ac:dyDescent="0.3">
      <c r="A341">
        <f t="shared" si="19"/>
        <v>1900</v>
      </c>
      <c r="C341" s="15"/>
      <c r="E341" s="15"/>
    </row>
    <row r="342" spans="1:5" x14ac:dyDescent="0.3">
      <c r="A342">
        <f t="shared" si="19"/>
        <v>1900</v>
      </c>
      <c r="C342" s="15"/>
      <c r="E342" s="15"/>
    </row>
    <row r="343" spans="1:5" x14ac:dyDescent="0.3">
      <c r="A343">
        <f t="shared" si="19"/>
        <v>1900</v>
      </c>
      <c r="C343" s="15"/>
      <c r="E343" s="15"/>
    </row>
    <row r="344" spans="1:5" x14ac:dyDescent="0.3">
      <c r="A344">
        <f t="shared" si="19"/>
        <v>1900</v>
      </c>
      <c r="C344" s="15"/>
      <c r="E344" s="15"/>
    </row>
    <row r="345" spans="1:5" x14ac:dyDescent="0.3">
      <c r="A345">
        <f t="shared" si="19"/>
        <v>1900</v>
      </c>
      <c r="C345" s="15"/>
      <c r="E345" s="15"/>
    </row>
    <row r="346" spans="1:5" x14ac:dyDescent="0.3">
      <c r="A346">
        <f t="shared" si="19"/>
        <v>1900</v>
      </c>
      <c r="C346" s="15"/>
      <c r="E346" s="15"/>
    </row>
    <row r="347" spans="1:5" x14ac:dyDescent="0.3">
      <c r="A347">
        <f t="shared" si="19"/>
        <v>1900</v>
      </c>
      <c r="C347" s="15"/>
      <c r="E347" s="15"/>
    </row>
    <row r="348" spans="1:5" x14ac:dyDescent="0.3">
      <c r="A348">
        <f t="shared" si="19"/>
        <v>1900</v>
      </c>
      <c r="C348" s="15"/>
      <c r="E348" s="15"/>
    </row>
    <row r="349" spans="1:5" x14ac:dyDescent="0.3">
      <c r="A349">
        <f t="shared" si="19"/>
        <v>1900</v>
      </c>
      <c r="C349" s="15"/>
      <c r="E349" s="15"/>
    </row>
    <row r="350" spans="1:5" x14ac:dyDescent="0.3">
      <c r="A350">
        <f t="shared" si="19"/>
        <v>1900</v>
      </c>
      <c r="C350" s="15"/>
      <c r="E350" s="15"/>
    </row>
    <row r="351" spans="1:5" x14ac:dyDescent="0.3">
      <c r="A351">
        <f t="shared" si="19"/>
        <v>1900</v>
      </c>
      <c r="C351" s="15"/>
      <c r="E351" s="15"/>
    </row>
    <row r="352" spans="1:5" x14ac:dyDescent="0.3">
      <c r="A352">
        <f t="shared" si="19"/>
        <v>1900</v>
      </c>
      <c r="C352" s="15"/>
      <c r="E352" s="15"/>
    </row>
    <row r="353" spans="1:5" x14ac:dyDescent="0.3">
      <c r="A353">
        <f t="shared" si="19"/>
        <v>1900</v>
      </c>
      <c r="C353" s="15"/>
      <c r="E353" s="15"/>
    </row>
    <row r="354" spans="1:5" x14ac:dyDescent="0.3">
      <c r="A354">
        <f t="shared" si="19"/>
        <v>1900</v>
      </c>
      <c r="C354" s="15"/>
      <c r="E354" s="15"/>
    </row>
    <row r="355" spans="1:5" x14ac:dyDescent="0.3">
      <c r="A355">
        <f t="shared" si="19"/>
        <v>1900</v>
      </c>
      <c r="C355" s="15"/>
      <c r="E355" s="15"/>
    </row>
    <row r="356" spans="1:5" x14ac:dyDescent="0.3">
      <c r="A356">
        <f t="shared" si="19"/>
        <v>1900</v>
      </c>
      <c r="C356" s="15"/>
      <c r="E356" s="15"/>
    </row>
    <row r="357" spans="1:5" x14ac:dyDescent="0.3">
      <c r="A357">
        <f t="shared" si="19"/>
        <v>1900</v>
      </c>
      <c r="C357" s="15"/>
      <c r="E357" s="15"/>
    </row>
    <row r="358" spans="1:5" x14ac:dyDescent="0.3">
      <c r="A358">
        <f t="shared" si="19"/>
        <v>1900</v>
      </c>
      <c r="C358" s="15"/>
      <c r="E358" s="15"/>
    </row>
    <row r="359" spans="1:5" x14ac:dyDescent="0.3">
      <c r="A359">
        <f t="shared" si="19"/>
        <v>1900</v>
      </c>
      <c r="C359" s="15"/>
      <c r="E359" s="15"/>
    </row>
    <row r="360" spans="1:5" x14ac:dyDescent="0.3">
      <c r="A360">
        <f t="shared" si="19"/>
        <v>1900</v>
      </c>
      <c r="C360" s="15"/>
      <c r="E360" s="15"/>
    </row>
    <row r="361" spans="1:5" x14ac:dyDescent="0.3">
      <c r="A361">
        <f t="shared" si="19"/>
        <v>1900</v>
      </c>
      <c r="C361" s="15"/>
      <c r="E361" s="15"/>
    </row>
    <row r="362" spans="1:5" x14ac:dyDescent="0.3">
      <c r="A362">
        <f t="shared" si="19"/>
        <v>1900</v>
      </c>
      <c r="C362" s="15"/>
      <c r="E362" s="15"/>
    </row>
    <row r="363" spans="1:5" x14ac:dyDescent="0.3">
      <c r="A363">
        <f t="shared" si="19"/>
        <v>1900</v>
      </c>
      <c r="C363" s="15"/>
      <c r="E363" s="15"/>
    </row>
    <row r="364" spans="1:5" x14ac:dyDescent="0.3">
      <c r="A364">
        <f t="shared" si="19"/>
        <v>1900</v>
      </c>
      <c r="C364" s="15"/>
      <c r="E364" s="15"/>
    </row>
    <row r="365" spans="1:5" x14ac:dyDescent="0.3">
      <c r="A365">
        <f t="shared" si="19"/>
        <v>1900</v>
      </c>
      <c r="C365" s="15"/>
      <c r="E365" s="15"/>
    </row>
    <row r="366" spans="1:5" x14ac:dyDescent="0.3">
      <c r="A366">
        <f t="shared" si="19"/>
        <v>1900</v>
      </c>
      <c r="C366" s="15"/>
      <c r="E366" s="15"/>
    </row>
    <row r="367" spans="1:5" x14ac:dyDescent="0.3">
      <c r="A367">
        <f t="shared" si="19"/>
        <v>1900</v>
      </c>
      <c r="C367" s="15"/>
      <c r="E367" s="15"/>
    </row>
    <row r="368" spans="1:5" x14ac:dyDescent="0.3">
      <c r="A368">
        <f t="shared" si="19"/>
        <v>1900</v>
      </c>
      <c r="C368" s="15"/>
      <c r="E368" s="15"/>
    </row>
    <row r="369" spans="1:5" x14ac:dyDescent="0.3">
      <c r="A369">
        <f t="shared" si="19"/>
        <v>1900</v>
      </c>
      <c r="C369" s="15"/>
      <c r="E369" s="15"/>
    </row>
    <row r="370" spans="1:5" x14ac:dyDescent="0.3">
      <c r="A370">
        <f t="shared" si="19"/>
        <v>1900</v>
      </c>
      <c r="C370" s="15"/>
      <c r="E370" s="15"/>
    </row>
    <row r="371" spans="1:5" x14ac:dyDescent="0.3">
      <c r="A371">
        <f t="shared" si="19"/>
        <v>1900</v>
      </c>
      <c r="C371" s="15"/>
      <c r="E371" s="15"/>
    </row>
    <row r="372" spans="1:5" x14ac:dyDescent="0.3">
      <c r="A372">
        <f t="shared" si="19"/>
        <v>1900</v>
      </c>
      <c r="C372" s="15"/>
      <c r="E372" s="15"/>
    </row>
    <row r="373" spans="1:5" x14ac:dyDescent="0.3">
      <c r="A373">
        <f t="shared" si="19"/>
        <v>1900</v>
      </c>
      <c r="C373" s="15"/>
      <c r="E373" s="15"/>
    </row>
    <row r="374" spans="1:5" x14ac:dyDescent="0.3">
      <c r="A374">
        <f t="shared" si="19"/>
        <v>1900</v>
      </c>
      <c r="C374" s="15"/>
      <c r="E374" s="15"/>
    </row>
    <row r="375" spans="1:5" x14ac:dyDescent="0.3">
      <c r="A375">
        <f t="shared" si="19"/>
        <v>1900</v>
      </c>
      <c r="C375" s="15"/>
      <c r="E375" s="15"/>
    </row>
    <row r="376" spans="1:5" x14ac:dyDescent="0.3">
      <c r="A376">
        <f t="shared" si="19"/>
        <v>1900</v>
      </c>
      <c r="C376" s="15"/>
      <c r="E376" s="15"/>
    </row>
    <row r="377" spans="1:5" x14ac:dyDescent="0.3">
      <c r="A377">
        <f t="shared" si="19"/>
        <v>1900</v>
      </c>
      <c r="C377" s="15"/>
      <c r="E377" s="15"/>
    </row>
    <row r="378" spans="1:5" x14ac:dyDescent="0.3">
      <c r="A378">
        <f t="shared" si="19"/>
        <v>1900</v>
      </c>
      <c r="C378" s="15"/>
      <c r="E378" s="15"/>
    </row>
    <row r="379" spans="1:5" x14ac:dyDescent="0.3">
      <c r="A379">
        <f t="shared" si="19"/>
        <v>1900</v>
      </c>
      <c r="C379" s="15"/>
      <c r="E379" s="15"/>
    </row>
    <row r="380" spans="1:5" x14ac:dyDescent="0.3">
      <c r="A380">
        <f t="shared" si="19"/>
        <v>1900</v>
      </c>
      <c r="C380" s="15"/>
      <c r="E380" s="15"/>
    </row>
    <row r="381" spans="1:5" x14ac:dyDescent="0.3">
      <c r="A381">
        <f t="shared" si="19"/>
        <v>1900</v>
      </c>
      <c r="C381" s="15"/>
      <c r="E381" s="15"/>
    </row>
    <row r="382" spans="1:5" x14ac:dyDescent="0.3">
      <c r="A382">
        <f t="shared" si="19"/>
        <v>1900</v>
      </c>
      <c r="C382" s="15"/>
      <c r="E382" s="15"/>
    </row>
    <row r="383" spans="1:5" x14ac:dyDescent="0.3">
      <c r="A383">
        <f t="shared" si="19"/>
        <v>1900</v>
      </c>
      <c r="C383" s="15"/>
      <c r="E383" s="15"/>
    </row>
    <row r="384" spans="1:5" x14ac:dyDescent="0.3">
      <c r="A384">
        <f t="shared" si="19"/>
        <v>1900</v>
      </c>
      <c r="C384" s="15"/>
      <c r="E384" s="15"/>
    </row>
    <row r="385" spans="1:5" x14ac:dyDescent="0.3">
      <c r="A385">
        <f t="shared" si="19"/>
        <v>1900</v>
      </c>
      <c r="C385" s="15"/>
      <c r="E385" s="15"/>
    </row>
    <row r="386" spans="1:5" x14ac:dyDescent="0.3">
      <c r="A386">
        <f t="shared" si="19"/>
        <v>1900</v>
      </c>
      <c r="C386" s="15"/>
      <c r="E386" s="15"/>
    </row>
    <row r="387" spans="1:5" x14ac:dyDescent="0.3">
      <c r="A387">
        <f t="shared" si="19"/>
        <v>1900</v>
      </c>
      <c r="C387" s="15"/>
      <c r="E387" s="15"/>
    </row>
    <row r="388" spans="1:5" x14ac:dyDescent="0.3">
      <c r="A388">
        <f t="shared" si="19"/>
        <v>1900</v>
      </c>
      <c r="C388" s="15"/>
      <c r="E388" s="15"/>
    </row>
    <row r="389" spans="1:5" x14ac:dyDescent="0.3">
      <c r="A389">
        <f t="shared" si="19"/>
        <v>1900</v>
      </c>
      <c r="C389" s="15"/>
      <c r="E389" s="15"/>
    </row>
    <row r="390" spans="1:5" x14ac:dyDescent="0.3">
      <c r="A390">
        <f t="shared" si="19"/>
        <v>1900</v>
      </c>
      <c r="C390" s="15"/>
      <c r="E390" s="15"/>
    </row>
    <row r="391" spans="1:5" x14ac:dyDescent="0.3">
      <c r="A391">
        <f t="shared" si="19"/>
        <v>1900</v>
      </c>
      <c r="C391" s="15"/>
      <c r="E391" s="15"/>
    </row>
    <row r="392" spans="1:5" x14ac:dyDescent="0.3">
      <c r="A392">
        <f t="shared" ref="A392:A455" si="20">YEAR(B392)</f>
        <v>1900</v>
      </c>
      <c r="C392" s="15"/>
      <c r="E392" s="15"/>
    </row>
    <row r="393" spans="1:5" x14ac:dyDescent="0.3">
      <c r="A393">
        <f t="shared" si="20"/>
        <v>1900</v>
      </c>
      <c r="C393" s="15"/>
      <c r="E393" s="15"/>
    </row>
    <row r="394" spans="1:5" x14ac:dyDescent="0.3">
      <c r="A394">
        <f t="shared" si="20"/>
        <v>1900</v>
      </c>
      <c r="C394" s="15"/>
      <c r="E394" s="15"/>
    </row>
    <row r="395" spans="1:5" x14ac:dyDescent="0.3">
      <c r="A395">
        <f t="shared" si="20"/>
        <v>1900</v>
      </c>
      <c r="C395" s="15"/>
      <c r="E395" s="15"/>
    </row>
    <row r="396" spans="1:5" x14ac:dyDescent="0.3">
      <c r="A396">
        <f t="shared" si="20"/>
        <v>1900</v>
      </c>
      <c r="C396" s="15"/>
      <c r="E396" s="15"/>
    </row>
    <row r="397" spans="1:5" x14ac:dyDescent="0.3">
      <c r="A397">
        <f t="shared" si="20"/>
        <v>1900</v>
      </c>
      <c r="C397" s="15"/>
      <c r="E397" s="15"/>
    </row>
    <row r="398" spans="1:5" x14ac:dyDescent="0.3">
      <c r="A398">
        <f t="shared" si="20"/>
        <v>1900</v>
      </c>
      <c r="C398" s="15"/>
      <c r="E398" s="15"/>
    </row>
    <row r="399" spans="1:5" x14ac:dyDescent="0.3">
      <c r="A399">
        <f t="shared" si="20"/>
        <v>1900</v>
      </c>
      <c r="C399" s="15"/>
      <c r="E399" s="15"/>
    </row>
    <row r="400" spans="1:5" x14ac:dyDescent="0.3">
      <c r="A400">
        <f t="shared" si="20"/>
        <v>1900</v>
      </c>
      <c r="C400" s="15"/>
      <c r="E400" s="15"/>
    </row>
    <row r="401" spans="1:5" x14ac:dyDescent="0.3">
      <c r="A401">
        <f t="shared" si="20"/>
        <v>1900</v>
      </c>
      <c r="C401" s="15"/>
      <c r="E401" s="15"/>
    </row>
    <row r="402" spans="1:5" x14ac:dyDescent="0.3">
      <c r="A402">
        <f t="shared" si="20"/>
        <v>1900</v>
      </c>
      <c r="C402" s="15"/>
      <c r="E402" s="15"/>
    </row>
    <row r="403" spans="1:5" x14ac:dyDescent="0.3">
      <c r="A403">
        <f t="shared" si="20"/>
        <v>1900</v>
      </c>
      <c r="C403" s="15"/>
      <c r="E403" s="15"/>
    </row>
    <row r="404" spans="1:5" x14ac:dyDescent="0.3">
      <c r="A404">
        <f t="shared" si="20"/>
        <v>1900</v>
      </c>
      <c r="C404" s="15"/>
      <c r="E404" s="15"/>
    </row>
    <row r="405" spans="1:5" x14ac:dyDescent="0.3">
      <c r="A405">
        <f t="shared" si="20"/>
        <v>1900</v>
      </c>
      <c r="C405" s="15"/>
      <c r="E405" s="15"/>
    </row>
    <row r="406" spans="1:5" x14ac:dyDescent="0.3">
      <c r="A406">
        <f t="shared" si="20"/>
        <v>1900</v>
      </c>
      <c r="C406" s="15"/>
      <c r="E406" s="15"/>
    </row>
    <row r="407" spans="1:5" x14ac:dyDescent="0.3">
      <c r="A407">
        <f t="shared" si="20"/>
        <v>1900</v>
      </c>
      <c r="C407" s="15"/>
      <c r="E407" s="15"/>
    </row>
    <row r="408" spans="1:5" x14ac:dyDescent="0.3">
      <c r="A408">
        <f t="shared" si="20"/>
        <v>1900</v>
      </c>
      <c r="C408" s="15"/>
      <c r="E408" s="15"/>
    </row>
    <row r="409" spans="1:5" x14ac:dyDescent="0.3">
      <c r="A409">
        <f t="shared" si="20"/>
        <v>1900</v>
      </c>
      <c r="C409" s="15"/>
      <c r="E409" s="15"/>
    </row>
    <row r="410" spans="1:5" x14ac:dyDescent="0.3">
      <c r="A410">
        <f t="shared" si="20"/>
        <v>1900</v>
      </c>
      <c r="C410" s="15"/>
      <c r="E410" s="15"/>
    </row>
    <row r="411" spans="1:5" x14ac:dyDescent="0.3">
      <c r="A411">
        <f t="shared" si="20"/>
        <v>1900</v>
      </c>
      <c r="C411" s="15"/>
      <c r="E411" s="15"/>
    </row>
    <row r="412" spans="1:5" x14ac:dyDescent="0.3">
      <c r="A412">
        <f t="shared" si="20"/>
        <v>1900</v>
      </c>
      <c r="C412" s="15"/>
      <c r="E412" s="15"/>
    </row>
    <row r="413" spans="1:5" x14ac:dyDescent="0.3">
      <c r="A413">
        <f t="shared" si="20"/>
        <v>1900</v>
      </c>
      <c r="C413" s="15"/>
      <c r="E413" s="15"/>
    </row>
    <row r="414" spans="1:5" x14ac:dyDescent="0.3">
      <c r="A414">
        <f t="shared" si="20"/>
        <v>1900</v>
      </c>
      <c r="C414" s="15"/>
      <c r="E414" s="15"/>
    </row>
    <row r="415" spans="1:5" x14ac:dyDescent="0.3">
      <c r="A415">
        <f t="shared" si="20"/>
        <v>1900</v>
      </c>
      <c r="C415" s="15"/>
      <c r="E415" s="15"/>
    </row>
    <row r="416" spans="1:5" x14ac:dyDescent="0.3">
      <c r="A416">
        <f t="shared" si="20"/>
        <v>1900</v>
      </c>
      <c r="C416" s="15"/>
      <c r="E416" s="15"/>
    </row>
    <row r="417" spans="1:5" x14ac:dyDescent="0.3">
      <c r="A417">
        <f t="shared" si="20"/>
        <v>1900</v>
      </c>
      <c r="C417" s="15"/>
      <c r="E417" s="15"/>
    </row>
    <row r="418" spans="1:5" x14ac:dyDescent="0.3">
      <c r="A418">
        <f t="shared" si="20"/>
        <v>1900</v>
      </c>
      <c r="C418" s="15"/>
      <c r="E418" s="15"/>
    </row>
    <row r="419" spans="1:5" x14ac:dyDescent="0.3">
      <c r="A419">
        <f t="shared" si="20"/>
        <v>1900</v>
      </c>
      <c r="C419" s="15"/>
      <c r="E419" s="15"/>
    </row>
    <row r="420" spans="1:5" x14ac:dyDescent="0.3">
      <c r="A420">
        <f t="shared" si="20"/>
        <v>1900</v>
      </c>
      <c r="C420" s="15"/>
      <c r="E420" s="15"/>
    </row>
    <row r="421" spans="1:5" x14ac:dyDescent="0.3">
      <c r="A421">
        <f t="shared" si="20"/>
        <v>1900</v>
      </c>
      <c r="C421" s="15"/>
      <c r="E421" s="15"/>
    </row>
    <row r="422" spans="1:5" x14ac:dyDescent="0.3">
      <c r="A422">
        <f t="shared" si="20"/>
        <v>1900</v>
      </c>
      <c r="C422" s="15"/>
      <c r="E422" s="15"/>
    </row>
    <row r="423" spans="1:5" x14ac:dyDescent="0.3">
      <c r="A423">
        <f t="shared" si="20"/>
        <v>1900</v>
      </c>
      <c r="C423" s="15"/>
      <c r="E423" s="15"/>
    </row>
    <row r="424" spans="1:5" x14ac:dyDescent="0.3">
      <c r="A424">
        <f t="shared" si="20"/>
        <v>1900</v>
      </c>
      <c r="C424" s="15"/>
      <c r="E424" s="15"/>
    </row>
    <row r="425" spans="1:5" x14ac:dyDescent="0.3">
      <c r="A425">
        <f t="shared" si="20"/>
        <v>1900</v>
      </c>
      <c r="C425" s="15"/>
      <c r="E425" s="15"/>
    </row>
    <row r="426" spans="1:5" x14ac:dyDescent="0.3">
      <c r="A426">
        <f t="shared" si="20"/>
        <v>1900</v>
      </c>
      <c r="C426" s="15"/>
      <c r="E426" s="15"/>
    </row>
    <row r="427" spans="1:5" x14ac:dyDescent="0.3">
      <c r="A427">
        <f t="shared" si="20"/>
        <v>1900</v>
      </c>
      <c r="C427" s="15"/>
      <c r="E427" s="15"/>
    </row>
    <row r="428" spans="1:5" x14ac:dyDescent="0.3">
      <c r="A428">
        <f t="shared" si="20"/>
        <v>1900</v>
      </c>
      <c r="C428" s="15"/>
      <c r="E428" s="15"/>
    </row>
    <row r="429" spans="1:5" x14ac:dyDescent="0.3">
      <c r="A429">
        <f t="shared" si="20"/>
        <v>1900</v>
      </c>
      <c r="C429" s="15"/>
      <c r="E429" s="15"/>
    </row>
    <row r="430" spans="1:5" x14ac:dyDescent="0.3">
      <c r="A430">
        <f t="shared" si="20"/>
        <v>1900</v>
      </c>
      <c r="C430" s="15"/>
      <c r="E430" s="15"/>
    </row>
    <row r="431" spans="1:5" x14ac:dyDescent="0.3">
      <c r="A431">
        <f t="shared" si="20"/>
        <v>1900</v>
      </c>
      <c r="C431" s="15"/>
      <c r="E431" s="15"/>
    </row>
    <row r="432" spans="1:5" x14ac:dyDescent="0.3">
      <c r="A432">
        <f t="shared" si="20"/>
        <v>1900</v>
      </c>
      <c r="C432" s="15"/>
      <c r="E432" s="15"/>
    </row>
    <row r="433" spans="1:5" x14ac:dyDescent="0.3">
      <c r="A433">
        <f t="shared" si="20"/>
        <v>1900</v>
      </c>
      <c r="C433" s="15"/>
      <c r="E433" s="15"/>
    </row>
    <row r="434" spans="1:5" x14ac:dyDescent="0.3">
      <c r="A434">
        <f t="shared" si="20"/>
        <v>1900</v>
      </c>
      <c r="C434" s="15"/>
      <c r="E434" s="15"/>
    </row>
    <row r="435" spans="1:5" x14ac:dyDescent="0.3">
      <c r="A435">
        <f t="shared" si="20"/>
        <v>1900</v>
      </c>
      <c r="C435" s="15"/>
      <c r="E435" s="15"/>
    </row>
    <row r="436" spans="1:5" x14ac:dyDescent="0.3">
      <c r="A436">
        <f t="shared" si="20"/>
        <v>1900</v>
      </c>
      <c r="C436" s="15"/>
      <c r="E436" s="15"/>
    </row>
    <row r="437" spans="1:5" x14ac:dyDescent="0.3">
      <c r="A437">
        <f t="shared" si="20"/>
        <v>1900</v>
      </c>
      <c r="C437" s="15"/>
      <c r="E437" s="15"/>
    </row>
    <row r="438" spans="1:5" x14ac:dyDescent="0.3">
      <c r="A438">
        <f t="shared" si="20"/>
        <v>1900</v>
      </c>
      <c r="C438" s="15"/>
      <c r="E438" s="15"/>
    </row>
    <row r="439" spans="1:5" x14ac:dyDescent="0.3">
      <c r="A439">
        <f t="shared" si="20"/>
        <v>1900</v>
      </c>
      <c r="C439" s="15"/>
      <c r="E439" s="15"/>
    </row>
    <row r="440" spans="1:5" x14ac:dyDescent="0.3">
      <c r="A440">
        <f t="shared" si="20"/>
        <v>1900</v>
      </c>
      <c r="C440" s="15"/>
      <c r="E440" s="15"/>
    </row>
    <row r="441" spans="1:5" x14ac:dyDescent="0.3">
      <c r="A441">
        <f t="shared" si="20"/>
        <v>1900</v>
      </c>
      <c r="C441" s="15"/>
      <c r="E441" s="15"/>
    </row>
    <row r="442" spans="1:5" x14ac:dyDescent="0.3">
      <c r="A442">
        <f t="shared" si="20"/>
        <v>1900</v>
      </c>
      <c r="C442" s="15"/>
      <c r="E442" s="15"/>
    </row>
    <row r="443" spans="1:5" x14ac:dyDescent="0.3">
      <c r="A443">
        <f t="shared" si="20"/>
        <v>1900</v>
      </c>
      <c r="C443" s="15"/>
      <c r="E443" s="15"/>
    </row>
    <row r="444" spans="1:5" x14ac:dyDescent="0.3">
      <c r="A444">
        <f t="shared" si="20"/>
        <v>1900</v>
      </c>
      <c r="C444" s="15"/>
      <c r="E444" s="15"/>
    </row>
    <row r="445" spans="1:5" x14ac:dyDescent="0.3">
      <c r="A445">
        <f t="shared" si="20"/>
        <v>1900</v>
      </c>
      <c r="C445" s="15"/>
      <c r="E445" s="15"/>
    </row>
    <row r="446" spans="1:5" x14ac:dyDescent="0.3">
      <c r="A446">
        <f t="shared" si="20"/>
        <v>1900</v>
      </c>
      <c r="C446" s="15"/>
      <c r="E446" s="15"/>
    </row>
    <row r="447" spans="1:5" x14ac:dyDescent="0.3">
      <c r="A447">
        <f t="shared" si="20"/>
        <v>1900</v>
      </c>
      <c r="C447" s="15"/>
      <c r="E447" s="15"/>
    </row>
    <row r="448" spans="1:5" x14ac:dyDescent="0.3">
      <c r="A448">
        <f t="shared" si="20"/>
        <v>1900</v>
      </c>
      <c r="C448" s="15"/>
      <c r="E448" s="15"/>
    </row>
    <row r="449" spans="1:5" x14ac:dyDescent="0.3">
      <c r="A449">
        <f t="shared" si="20"/>
        <v>1900</v>
      </c>
      <c r="C449" s="15"/>
      <c r="E449" s="15"/>
    </row>
    <row r="450" spans="1:5" x14ac:dyDescent="0.3">
      <c r="A450">
        <f t="shared" si="20"/>
        <v>1900</v>
      </c>
      <c r="C450" s="15"/>
      <c r="E450" s="15"/>
    </row>
    <row r="451" spans="1:5" x14ac:dyDescent="0.3">
      <c r="A451">
        <f t="shared" si="20"/>
        <v>1900</v>
      </c>
      <c r="C451" s="15"/>
      <c r="E451" s="15"/>
    </row>
    <row r="452" spans="1:5" x14ac:dyDescent="0.3">
      <c r="A452">
        <f t="shared" si="20"/>
        <v>1900</v>
      </c>
      <c r="C452" s="15"/>
      <c r="E452" s="15"/>
    </row>
    <row r="453" spans="1:5" x14ac:dyDescent="0.3">
      <c r="A453">
        <f t="shared" si="20"/>
        <v>1900</v>
      </c>
      <c r="C453" s="15"/>
      <c r="E453" s="15"/>
    </row>
    <row r="454" spans="1:5" x14ac:dyDescent="0.3">
      <c r="A454">
        <f t="shared" si="20"/>
        <v>1900</v>
      </c>
      <c r="C454" s="15"/>
      <c r="E454" s="15"/>
    </row>
    <row r="455" spans="1:5" x14ac:dyDescent="0.3">
      <c r="A455">
        <f t="shared" si="20"/>
        <v>1900</v>
      </c>
      <c r="C455" s="15"/>
      <c r="E455" s="15"/>
    </row>
    <row r="456" spans="1:5" x14ac:dyDescent="0.3">
      <c r="A456">
        <f t="shared" ref="A456:A508" si="21">YEAR(B456)</f>
        <v>1900</v>
      </c>
      <c r="C456" s="15"/>
      <c r="E456" s="15"/>
    </row>
    <row r="457" spans="1:5" x14ac:dyDescent="0.3">
      <c r="A457">
        <f t="shared" si="21"/>
        <v>1900</v>
      </c>
      <c r="C457" s="15"/>
      <c r="E457" s="15"/>
    </row>
    <row r="458" spans="1:5" x14ac:dyDescent="0.3">
      <c r="A458">
        <f t="shared" si="21"/>
        <v>1900</v>
      </c>
      <c r="C458" s="15"/>
      <c r="E458" s="15"/>
    </row>
    <row r="459" spans="1:5" x14ac:dyDescent="0.3">
      <c r="A459">
        <f t="shared" si="21"/>
        <v>1900</v>
      </c>
      <c r="C459" s="15"/>
      <c r="E459" s="15"/>
    </row>
    <row r="460" spans="1:5" x14ac:dyDescent="0.3">
      <c r="A460">
        <f t="shared" si="21"/>
        <v>1900</v>
      </c>
      <c r="C460" s="15"/>
      <c r="E460" s="15"/>
    </row>
    <row r="461" spans="1:5" x14ac:dyDescent="0.3">
      <c r="A461">
        <f t="shared" si="21"/>
        <v>1900</v>
      </c>
      <c r="C461" s="15"/>
      <c r="E461" s="15"/>
    </row>
    <row r="462" spans="1:5" x14ac:dyDescent="0.3">
      <c r="A462">
        <f t="shared" si="21"/>
        <v>1900</v>
      </c>
      <c r="C462" s="15"/>
      <c r="E462" s="15"/>
    </row>
    <row r="463" spans="1:5" x14ac:dyDescent="0.3">
      <c r="A463">
        <f t="shared" si="21"/>
        <v>1900</v>
      </c>
      <c r="C463" s="15"/>
      <c r="E463" s="15"/>
    </row>
    <row r="464" spans="1:5" x14ac:dyDescent="0.3">
      <c r="A464">
        <f t="shared" si="21"/>
        <v>1900</v>
      </c>
      <c r="C464" s="15"/>
      <c r="E464" s="15"/>
    </row>
    <row r="465" spans="1:5" x14ac:dyDescent="0.3">
      <c r="A465">
        <f t="shared" si="21"/>
        <v>1900</v>
      </c>
      <c r="C465" s="15"/>
      <c r="E465" s="15"/>
    </row>
    <row r="466" spans="1:5" x14ac:dyDescent="0.3">
      <c r="A466">
        <f t="shared" si="21"/>
        <v>1900</v>
      </c>
      <c r="C466" s="15"/>
      <c r="E466" s="15"/>
    </row>
    <row r="467" spans="1:5" x14ac:dyDescent="0.3">
      <c r="A467">
        <f t="shared" si="21"/>
        <v>1900</v>
      </c>
      <c r="C467" s="15"/>
      <c r="E467" s="15"/>
    </row>
    <row r="468" spans="1:5" x14ac:dyDescent="0.3">
      <c r="A468">
        <f t="shared" si="21"/>
        <v>1900</v>
      </c>
      <c r="C468" s="15"/>
      <c r="E468" s="15"/>
    </row>
    <row r="469" spans="1:5" x14ac:dyDescent="0.3">
      <c r="A469">
        <f t="shared" si="21"/>
        <v>1900</v>
      </c>
      <c r="C469" s="15"/>
      <c r="E469" s="15"/>
    </row>
    <row r="470" spans="1:5" x14ac:dyDescent="0.3">
      <c r="A470">
        <f t="shared" si="21"/>
        <v>1900</v>
      </c>
      <c r="C470" s="15"/>
      <c r="E470" s="15"/>
    </row>
    <row r="471" spans="1:5" x14ac:dyDescent="0.3">
      <c r="A471">
        <f t="shared" si="21"/>
        <v>1900</v>
      </c>
      <c r="C471" s="15"/>
      <c r="E471" s="15"/>
    </row>
    <row r="472" spans="1:5" x14ac:dyDescent="0.3">
      <c r="A472">
        <f t="shared" si="21"/>
        <v>1900</v>
      </c>
      <c r="C472" s="15"/>
      <c r="E472" s="15"/>
    </row>
    <row r="473" spans="1:5" x14ac:dyDescent="0.3">
      <c r="A473">
        <f t="shared" si="21"/>
        <v>1900</v>
      </c>
      <c r="C473" s="15"/>
      <c r="E473" s="15"/>
    </row>
    <row r="474" spans="1:5" x14ac:dyDescent="0.3">
      <c r="A474">
        <f t="shared" si="21"/>
        <v>1900</v>
      </c>
      <c r="C474" s="15"/>
      <c r="E474" s="15"/>
    </row>
    <row r="475" spans="1:5" x14ac:dyDescent="0.3">
      <c r="A475">
        <f t="shared" si="21"/>
        <v>1900</v>
      </c>
      <c r="C475" s="15"/>
      <c r="E475" s="15"/>
    </row>
    <row r="476" spans="1:5" x14ac:dyDescent="0.3">
      <c r="A476">
        <f t="shared" si="21"/>
        <v>1900</v>
      </c>
      <c r="C476" s="15"/>
      <c r="E476" s="15"/>
    </row>
    <row r="477" spans="1:5" x14ac:dyDescent="0.3">
      <c r="A477">
        <f t="shared" si="21"/>
        <v>1900</v>
      </c>
      <c r="C477" s="15"/>
      <c r="E477" s="15"/>
    </row>
    <row r="478" spans="1:5" x14ac:dyDescent="0.3">
      <c r="A478">
        <f t="shared" si="21"/>
        <v>1900</v>
      </c>
      <c r="C478" s="15"/>
      <c r="E478" s="15"/>
    </row>
    <row r="479" spans="1:5" x14ac:dyDescent="0.3">
      <c r="A479">
        <f t="shared" si="21"/>
        <v>1900</v>
      </c>
      <c r="C479" s="15"/>
      <c r="E479" s="15"/>
    </row>
    <row r="480" spans="1:5" x14ac:dyDescent="0.3">
      <c r="A480">
        <f t="shared" si="21"/>
        <v>1900</v>
      </c>
      <c r="C480" s="15"/>
      <c r="E480" s="15"/>
    </row>
    <row r="481" spans="1:5" x14ac:dyDescent="0.3">
      <c r="A481">
        <f t="shared" si="21"/>
        <v>1900</v>
      </c>
      <c r="C481" s="15"/>
      <c r="E481" s="15"/>
    </row>
    <row r="482" spans="1:5" x14ac:dyDescent="0.3">
      <c r="A482">
        <f t="shared" si="21"/>
        <v>1900</v>
      </c>
      <c r="C482" s="15"/>
      <c r="E482" s="15"/>
    </row>
    <row r="483" spans="1:5" x14ac:dyDescent="0.3">
      <c r="A483">
        <f t="shared" si="21"/>
        <v>1900</v>
      </c>
      <c r="C483" s="15"/>
      <c r="E483" s="15"/>
    </row>
    <row r="484" spans="1:5" x14ac:dyDescent="0.3">
      <c r="A484">
        <f t="shared" si="21"/>
        <v>1900</v>
      </c>
      <c r="C484" s="15"/>
      <c r="E484" s="15"/>
    </row>
    <row r="485" spans="1:5" x14ac:dyDescent="0.3">
      <c r="A485">
        <f t="shared" si="21"/>
        <v>1900</v>
      </c>
      <c r="C485" s="15"/>
      <c r="E485" s="15"/>
    </row>
    <row r="486" spans="1:5" x14ac:dyDescent="0.3">
      <c r="A486">
        <f t="shared" si="21"/>
        <v>1900</v>
      </c>
      <c r="C486" s="15"/>
      <c r="E486" s="15"/>
    </row>
    <row r="487" spans="1:5" x14ac:dyDescent="0.3">
      <c r="A487">
        <f t="shared" si="21"/>
        <v>1900</v>
      </c>
      <c r="C487" s="15"/>
      <c r="E487" s="15"/>
    </row>
    <row r="488" spans="1:5" x14ac:dyDescent="0.3">
      <c r="A488">
        <f t="shared" si="21"/>
        <v>1900</v>
      </c>
      <c r="C488" s="15"/>
      <c r="E488" s="15"/>
    </row>
    <row r="489" spans="1:5" x14ac:dyDescent="0.3">
      <c r="A489">
        <f t="shared" si="21"/>
        <v>1900</v>
      </c>
      <c r="C489" s="15"/>
      <c r="E489" s="15"/>
    </row>
    <row r="490" spans="1:5" x14ac:dyDescent="0.3">
      <c r="A490">
        <f t="shared" si="21"/>
        <v>1900</v>
      </c>
      <c r="C490" s="15"/>
      <c r="E490" s="15"/>
    </row>
    <row r="491" spans="1:5" x14ac:dyDescent="0.3">
      <c r="A491">
        <f t="shared" si="21"/>
        <v>1900</v>
      </c>
      <c r="C491" s="15"/>
      <c r="E491" s="15"/>
    </row>
    <row r="492" spans="1:5" x14ac:dyDescent="0.3">
      <c r="A492">
        <f t="shared" si="21"/>
        <v>1900</v>
      </c>
      <c r="C492" s="15"/>
      <c r="E492" s="15"/>
    </row>
    <row r="493" spans="1:5" x14ac:dyDescent="0.3">
      <c r="A493">
        <f t="shared" si="21"/>
        <v>1900</v>
      </c>
      <c r="C493" s="15"/>
      <c r="E493" s="15"/>
    </row>
    <row r="494" spans="1:5" x14ac:dyDescent="0.3">
      <c r="A494">
        <f t="shared" si="21"/>
        <v>1900</v>
      </c>
      <c r="C494" s="15"/>
      <c r="E494" s="15"/>
    </row>
    <row r="495" spans="1:5" x14ac:dyDescent="0.3">
      <c r="A495">
        <f t="shared" si="21"/>
        <v>1900</v>
      </c>
      <c r="C495" s="15"/>
      <c r="E495" s="15"/>
    </row>
    <row r="496" spans="1:5" x14ac:dyDescent="0.3">
      <c r="A496">
        <f t="shared" si="21"/>
        <v>1900</v>
      </c>
      <c r="C496" s="15"/>
      <c r="E496" s="15"/>
    </row>
    <row r="497" spans="1:5" x14ac:dyDescent="0.3">
      <c r="A497">
        <f t="shared" si="21"/>
        <v>1900</v>
      </c>
      <c r="C497" s="15"/>
      <c r="E497" s="15"/>
    </row>
    <row r="498" spans="1:5" x14ac:dyDescent="0.3">
      <c r="A498">
        <f t="shared" si="21"/>
        <v>1900</v>
      </c>
      <c r="C498" s="15"/>
      <c r="E498" s="15"/>
    </row>
    <row r="499" spans="1:5" x14ac:dyDescent="0.3">
      <c r="A499">
        <f t="shared" si="21"/>
        <v>1900</v>
      </c>
      <c r="C499" s="15"/>
      <c r="E499" s="15"/>
    </row>
    <row r="500" spans="1:5" x14ac:dyDescent="0.3">
      <c r="A500">
        <f t="shared" si="21"/>
        <v>1900</v>
      </c>
      <c r="C500" s="15"/>
      <c r="E500" s="15"/>
    </row>
    <row r="501" spans="1:5" x14ac:dyDescent="0.3">
      <c r="A501">
        <f t="shared" si="21"/>
        <v>1900</v>
      </c>
      <c r="C501" s="15"/>
      <c r="E501" s="15"/>
    </row>
    <row r="502" spans="1:5" x14ac:dyDescent="0.3">
      <c r="A502">
        <f t="shared" si="21"/>
        <v>1900</v>
      </c>
      <c r="C502" s="15"/>
      <c r="E502" s="15"/>
    </row>
    <row r="503" spans="1:5" x14ac:dyDescent="0.3">
      <c r="A503">
        <f t="shared" si="21"/>
        <v>1900</v>
      </c>
    </row>
    <row r="504" spans="1:5" x14ac:dyDescent="0.3">
      <c r="A504">
        <f t="shared" si="21"/>
        <v>1900</v>
      </c>
    </row>
    <row r="505" spans="1:5" x14ac:dyDescent="0.3">
      <c r="A505">
        <f t="shared" si="21"/>
        <v>1900</v>
      </c>
    </row>
    <row r="506" spans="1:5" x14ac:dyDescent="0.3">
      <c r="A506">
        <f t="shared" si="21"/>
        <v>1900</v>
      </c>
    </row>
    <row r="507" spans="1:5" x14ac:dyDescent="0.3">
      <c r="A507">
        <f t="shared" si="21"/>
        <v>1900</v>
      </c>
    </row>
    <row r="508" spans="1:5" x14ac:dyDescent="0.3">
      <c r="A508">
        <f t="shared" si="21"/>
        <v>1900</v>
      </c>
    </row>
  </sheetData>
  <mergeCells count="3">
    <mergeCell ref="B6:F6"/>
    <mergeCell ref="H6:L6"/>
    <mergeCell ref="N6:R6"/>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E82D4-997E-410D-A31A-6CD4F8CC9C12}">
  <sheetPr codeName="Sheet13"/>
  <dimension ref="A1:AE283"/>
  <sheetViews>
    <sheetView showGridLines="0" topLeftCell="D1" zoomScale="85" zoomScaleNormal="85" workbookViewId="0">
      <selection activeCell="D1" sqref="D1"/>
    </sheetView>
  </sheetViews>
  <sheetFormatPr defaultColWidth="14.6640625" defaultRowHeight="10.199999999999999" x14ac:dyDescent="0.2"/>
  <cols>
    <col min="1" max="3" width="14.6640625" style="257" hidden="1" customWidth="1"/>
    <col min="4" max="4" width="13.109375" style="257" bestFit="1" customWidth="1"/>
    <col min="5" max="5" width="18.33203125" style="257" customWidth="1"/>
    <col min="6" max="6" width="19" style="257" customWidth="1"/>
    <col min="7" max="7" width="20.33203125" style="257" customWidth="1"/>
    <col min="8" max="8" width="19.5546875" style="257" customWidth="1"/>
    <col min="9" max="9" width="17.5546875" style="257" customWidth="1"/>
    <col min="10" max="10" width="17" style="257" customWidth="1"/>
    <col min="11" max="11" width="17.33203125" style="257" customWidth="1"/>
    <col min="12" max="12" width="16.6640625" style="257" customWidth="1"/>
    <col min="13" max="13" width="3.88671875" style="258" customWidth="1"/>
    <col min="14" max="14" width="11.5546875" style="257" customWidth="1"/>
    <col min="15" max="15" width="18.6640625" style="257" customWidth="1"/>
    <col min="16" max="16" width="19.44140625" style="257" customWidth="1"/>
    <col min="17" max="17" width="17.6640625" style="257" customWidth="1"/>
    <col min="18" max="18" width="19.109375" style="257" customWidth="1"/>
    <col min="19" max="19" width="18" style="257" customWidth="1"/>
    <col min="20" max="20" width="18.44140625" style="257" customWidth="1"/>
    <col min="21" max="21" width="14.44140625" style="257" customWidth="1"/>
    <col min="22" max="22" width="2.6640625" style="257" customWidth="1"/>
    <col min="23" max="23" width="13.33203125" style="257" customWidth="1"/>
    <col min="24" max="24" width="18.5546875" style="257" customWidth="1"/>
    <col min="25" max="25" width="21.109375" style="257" customWidth="1"/>
    <col min="26" max="26" width="18.44140625" style="257" customWidth="1"/>
    <col min="27" max="27" width="19.44140625" style="257" customWidth="1"/>
    <col min="28" max="28" width="18.109375" style="257" customWidth="1"/>
    <col min="29" max="29" width="18.6640625" style="257" customWidth="1"/>
    <col min="30" max="16384" width="14.6640625" style="257"/>
  </cols>
  <sheetData>
    <row r="1" spans="1:31" ht="18" x14ac:dyDescent="0.35">
      <c r="H1" s="299"/>
      <c r="I1" s="300"/>
      <c r="J1" s="300"/>
      <c r="K1" s="300"/>
      <c r="L1" s="258"/>
      <c r="N1" s="301">
        <f>(LARGE(A190:A279,1))</f>
        <v>2024</v>
      </c>
      <c r="O1" s="3"/>
      <c r="P1"/>
      <c r="Q1"/>
      <c r="R1"/>
      <c r="S1" s="65"/>
      <c r="T1"/>
      <c r="U1"/>
      <c r="V1"/>
    </row>
    <row r="2" spans="1:31" ht="15.6" x14ac:dyDescent="0.3">
      <c r="H2" s="302"/>
      <c r="I2" s="303"/>
      <c r="J2" s="300"/>
      <c r="K2" s="300"/>
      <c r="L2" s="258"/>
      <c r="N2" s="301">
        <f>COUNTIF($A$190:$A$268,N1)</f>
        <v>2</v>
      </c>
      <c r="O2" s="3"/>
      <c r="P2"/>
      <c r="Q2"/>
      <c r="R2"/>
      <c r="S2"/>
      <c r="T2"/>
      <c r="U2"/>
      <c r="V2"/>
      <c r="W2"/>
      <c r="X2"/>
      <c r="Y2"/>
    </row>
    <row r="3" spans="1:31" ht="15.6" x14ac:dyDescent="0.3">
      <c r="H3" s="302"/>
      <c r="I3" s="300"/>
      <c r="J3" s="300"/>
      <c r="K3" s="300"/>
      <c r="L3" s="258"/>
      <c r="N3" s="301" t="str">
        <f>IF(N2=2,"Financial Year","Calendar Year")</f>
        <v>Financial Year</v>
      </c>
      <c r="O3" s="3"/>
      <c r="P3"/>
      <c r="Q3"/>
      <c r="R3"/>
      <c r="S3"/>
      <c r="T3"/>
      <c r="U3"/>
      <c r="V3"/>
      <c r="W3"/>
      <c r="X3"/>
      <c r="Y3"/>
    </row>
    <row r="4" spans="1:31" ht="14.4" x14ac:dyDescent="0.3">
      <c r="L4" s="258"/>
      <c r="N4" s="3"/>
      <c r="O4" s="3"/>
      <c r="P4"/>
      <c r="Q4"/>
      <c r="R4"/>
      <c r="S4"/>
      <c r="T4"/>
      <c r="U4"/>
      <c r="V4"/>
      <c r="W4"/>
      <c r="X4"/>
      <c r="Y4"/>
    </row>
    <row r="5" spans="1:31" ht="14.4" x14ac:dyDescent="0.3">
      <c r="M5" s="257"/>
      <c r="N5" s="2"/>
      <c r="O5"/>
      <c r="P5"/>
      <c r="Q5"/>
      <c r="R5"/>
      <c r="S5"/>
      <c r="T5"/>
      <c r="U5"/>
      <c r="V5"/>
      <c r="W5"/>
      <c r="X5"/>
      <c r="Y5"/>
    </row>
    <row r="6" spans="1:31" ht="15" thickBot="1" x14ac:dyDescent="0.35">
      <c r="D6" s="648" t="s">
        <v>133</v>
      </c>
      <c r="E6" s="648"/>
      <c r="F6" s="648"/>
      <c r="G6" s="648"/>
      <c r="H6" s="648"/>
      <c r="I6" s="648"/>
      <c r="J6" s="648"/>
      <c r="K6" s="648"/>
      <c r="L6" s="648"/>
      <c r="M6" s="257"/>
      <c r="N6" s="647" t="s">
        <v>111</v>
      </c>
      <c r="O6" s="647"/>
      <c r="P6" s="647"/>
      <c r="Q6" s="647"/>
      <c r="R6" s="647"/>
      <c r="S6" s="647"/>
      <c r="T6" s="647"/>
      <c r="U6" s="647"/>
      <c r="V6" s="14"/>
      <c r="W6" s="647" t="s">
        <v>72</v>
      </c>
      <c r="X6" s="647"/>
      <c r="Y6" s="647"/>
      <c r="Z6" s="647"/>
      <c r="AA6" s="647"/>
      <c r="AB6" s="647"/>
      <c r="AC6" s="647"/>
      <c r="AD6" s="647"/>
    </row>
    <row r="7" spans="1:31" ht="43.2" x14ac:dyDescent="0.3">
      <c r="A7" s="261"/>
      <c r="B7" s="261"/>
      <c r="C7" s="261"/>
      <c r="D7" s="173" t="s">
        <v>112</v>
      </c>
      <c r="E7" s="212" t="s">
        <v>696</v>
      </c>
      <c r="F7" s="174" t="s">
        <v>697</v>
      </c>
      <c r="G7" s="174" t="s">
        <v>698</v>
      </c>
      <c r="H7" s="174" t="s">
        <v>699</v>
      </c>
      <c r="I7" s="174" t="s">
        <v>700</v>
      </c>
      <c r="J7" s="174" t="s">
        <v>701</v>
      </c>
      <c r="K7" s="174" t="s">
        <v>702</v>
      </c>
      <c r="L7" s="304" t="s">
        <v>134</v>
      </c>
      <c r="M7" s="257"/>
      <c r="N7" s="305" t="s">
        <v>73</v>
      </c>
      <c r="O7" s="174" t="s">
        <v>696</v>
      </c>
      <c r="P7" s="174" t="s">
        <v>697</v>
      </c>
      <c r="Q7" s="174" t="s">
        <v>698</v>
      </c>
      <c r="R7" s="174" t="s">
        <v>699</v>
      </c>
      <c r="S7" s="174" t="s">
        <v>700</v>
      </c>
      <c r="T7" s="174" t="s">
        <v>701</v>
      </c>
      <c r="U7" s="304" t="s">
        <v>134</v>
      </c>
      <c r="V7" s="178"/>
      <c r="W7" s="305" t="s">
        <v>73</v>
      </c>
      <c r="X7" s="174" t="s">
        <v>696</v>
      </c>
      <c r="Y7" s="174" t="s">
        <v>697</v>
      </c>
      <c r="Z7" s="174" t="s">
        <v>698</v>
      </c>
      <c r="AA7" s="174" t="s">
        <v>699</v>
      </c>
      <c r="AB7" s="174" t="s">
        <v>700</v>
      </c>
      <c r="AC7" s="174" t="s">
        <v>701</v>
      </c>
      <c r="AD7" s="304" t="s">
        <v>134</v>
      </c>
    </row>
    <row r="8" spans="1:31" ht="14.4" x14ac:dyDescent="0.3">
      <c r="A8" s="263">
        <f t="shared" ref="A8:A71" si="0">YEAR(D8)</f>
        <v>1978</v>
      </c>
      <c r="B8" s="264" t="str">
        <f t="shared" ref="B8:B71" si="1">IF(MONTH(D8)&lt;4,"1",IF(MONTH(D8)&lt;7,"2",IF(MONTH(D8)&lt;10,"3","4")))</f>
        <v>2</v>
      </c>
      <c r="C8" s="306">
        <f>_xlfn.NUMBERVALUE(CONCATENATE(A8,B8))</f>
        <v>19782</v>
      </c>
      <c r="D8" s="240">
        <v>28642</v>
      </c>
      <c r="E8" s="307">
        <v>2.2000000000000002</v>
      </c>
      <c r="F8" s="308">
        <v>3.8</v>
      </c>
      <c r="G8" s="308">
        <v>6</v>
      </c>
      <c r="H8" s="308">
        <v>15.1</v>
      </c>
      <c r="I8" s="308">
        <v>5.2</v>
      </c>
      <c r="J8" s="308">
        <v>20.9</v>
      </c>
      <c r="K8" s="308">
        <f>SUM(J8,G8)</f>
        <v>26.9</v>
      </c>
      <c r="L8" s="22">
        <f>G8/K8</f>
        <v>0.22304832713754649</v>
      </c>
      <c r="M8" s="257"/>
      <c r="N8" s="181">
        <f t="shared" ref="N8:N16" si="2">N9-1</f>
        <v>2014</v>
      </c>
      <c r="O8" s="309">
        <f>SUMIFS(E:E, $D:$D, "&gt;=" &amp; DATE($N8, 1, 1), $D:$D, "&lt;" &amp; DATE($N8+1, 1, 1))</f>
        <v>764.4</v>
      </c>
      <c r="P8" s="309">
        <f t="shared" ref="P8:P17" si="3">SUMIFS(F:F, $D:$D, "&gt;=" &amp; DATE($N8, 1, 1), $D:$D, "&lt;" &amp; DATE($N8+1, 1, 1))</f>
        <v>662.90000000000009</v>
      </c>
      <c r="Q8" s="309">
        <f t="shared" ref="Q8:Q17" si="4">SUMIFS(G:G, $D:$D, "&gt;=" &amp; DATE($N8, 1, 1), $D:$D, "&lt;" &amp; DATE($N8+1, 1, 1))</f>
        <v>1427.3000000000002</v>
      </c>
      <c r="R8" s="309">
        <f t="shared" ref="R8:R17" si="5">SUMIFS(H:H, $D:$D, "&gt;=" &amp; DATE($N8, 1, 1), $D:$D, "&lt;" &amp; DATE($N8+1, 1, 1))</f>
        <v>2618.1</v>
      </c>
      <c r="S8" s="309">
        <f t="shared" ref="S8:S17" si="6">SUMIFS(I:I, $D:$D, "&gt;=" &amp; DATE($N8, 1, 1), $D:$D, "&lt;" &amp; DATE($N8+1, 1, 1))</f>
        <v>694.8</v>
      </c>
      <c r="T8" s="309">
        <f t="shared" ref="T8:T17" si="7">SUMIFS(J:J, $D:$D, "&gt;=" &amp; DATE($N8, 1, 1), $D:$D, "&lt;" &amp; DATE($N8+1, 1, 1))</f>
        <v>3312.8</v>
      </c>
      <c r="U8" s="310">
        <f t="shared" ref="U8:U17" si="8">Q8/(T8+Q8)</f>
        <v>0.30111179089048756</v>
      </c>
      <c r="V8" s="126"/>
      <c r="W8" s="189" t="str">
        <f t="shared" ref="W8:W15" si="9">LEFT(W9,4)-1 &amp; "-" &amp; RIGHT(W9,2)-1</f>
        <v>2014-15</v>
      </c>
      <c r="X8" s="311">
        <f>SUMIFS(E:E, $D:$D, "&gt;=" &amp; DATE(LEFT($W8, 4), 7, 1), $D:$D, "&lt;" &amp; DATE(LEFT($W8, 4)+1, 7, 1))</f>
        <v>761.7</v>
      </c>
      <c r="Y8" s="311">
        <f t="shared" ref="Y8:AC17" si="10">SUMIFS(F:F, $D:$D, "&gt;=" &amp; DATE(LEFT($W8, 4), 7, 1), $D:$D, "&lt;" &amp; DATE(LEFT($W8, 4)+1, 7, 1))</f>
        <v>478.70000000000005</v>
      </c>
      <c r="Z8" s="311">
        <f t="shared" si="10"/>
        <v>1240.3999999999999</v>
      </c>
      <c r="AA8" s="311">
        <f t="shared" si="10"/>
        <v>1964.2000000000003</v>
      </c>
      <c r="AB8" s="311">
        <f t="shared" si="10"/>
        <v>582.4</v>
      </c>
      <c r="AC8" s="311">
        <f t="shared" si="10"/>
        <v>2546.6000000000004</v>
      </c>
      <c r="AD8" s="312">
        <f>Z8/(AC8+Z8)</f>
        <v>0.32754158964879848</v>
      </c>
    </row>
    <row r="9" spans="1:31" ht="14.4" x14ac:dyDescent="0.3">
      <c r="A9" s="263">
        <f t="shared" si="0"/>
        <v>1978</v>
      </c>
      <c r="B9" s="264" t="str">
        <f t="shared" si="1"/>
        <v>3</v>
      </c>
      <c r="C9" s="306">
        <f t="shared" ref="C9:C72" si="11">_xlfn.NUMBERVALUE(CONCATENATE(A9,B9))</f>
        <v>19783</v>
      </c>
      <c r="D9" s="240">
        <v>28734</v>
      </c>
      <c r="E9" s="313">
        <v>2.2000000000000002</v>
      </c>
      <c r="F9" s="314">
        <v>4.3</v>
      </c>
      <c r="G9" s="314">
        <v>6.7</v>
      </c>
      <c r="H9" s="314">
        <v>17.399999999999999</v>
      </c>
      <c r="I9" s="314">
        <v>5.5</v>
      </c>
      <c r="J9" s="314">
        <v>23.1</v>
      </c>
      <c r="K9" s="314">
        <f t="shared" ref="K9:K72" si="12">SUM(J9,G9)</f>
        <v>29.8</v>
      </c>
      <c r="L9" s="223">
        <f t="shared" ref="L9:L72" si="13">G9/K9</f>
        <v>0.22483221476510068</v>
      </c>
      <c r="M9" s="257"/>
      <c r="N9" s="189">
        <f t="shared" si="2"/>
        <v>2015</v>
      </c>
      <c r="O9" s="311">
        <f t="shared" ref="O9:O17" si="14">SUMIFS(E:E, $D:$D, "&gt;=" &amp; DATE($N9, 1, 1), $D:$D, "&lt;" &amp; DATE($N9+1, 1, 1))</f>
        <v>521.4</v>
      </c>
      <c r="P9" s="311">
        <f t="shared" si="3"/>
        <v>382.3</v>
      </c>
      <c r="Q9" s="311">
        <f t="shared" si="4"/>
        <v>903.69999999999993</v>
      </c>
      <c r="R9" s="311">
        <f t="shared" si="5"/>
        <v>1264.8999999999999</v>
      </c>
      <c r="S9" s="311">
        <f t="shared" si="6"/>
        <v>574.9</v>
      </c>
      <c r="T9" s="311">
        <f t="shared" si="7"/>
        <v>1839.6999999999998</v>
      </c>
      <c r="U9" s="315">
        <f t="shared" si="8"/>
        <v>0.32940876284901949</v>
      </c>
      <c r="V9" s="126"/>
      <c r="W9" s="181" t="str">
        <f t="shared" si="9"/>
        <v>2015-16</v>
      </c>
      <c r="X9" s="309">
        <f t="shared" ref="X9:X17" si="15">SUMIFS(E:E, $D:$D, "&gt;=" &amp; DATE(LEFT($W9, 4), 7, 1), $D:$D, "&lt;" &amp; DATE(LEFT($W9, 4)+1, 7, 1))</f>
        <v>240.39999999999998</v>
      </c>
      <c r="Y9" s="309">
        <f t="shared" si="10"/>
        <v>248.9</v>
      </c>
      <c r="Z9" s="309">
        <f t="shared" si="10"/>
        <v>489.29999999999995</v>
      </c>
      <c r="AA9" s="309">
        <f t="shared" si="10"/>
        <v>888.3</v>
      </c>
      <c r="AB9" s="309">
        <f t="shared" si="10"/>
        <v>397.5</v>
      </c>
      <c r="AC9" s="309">
        <f t="shared" si="10"/>
        <v>1285.7</v>
      </c>
      <c r="AD9" s="114">
        <f t="shared" ref="AD9:AD17" si="16">Z9/(AC9+Z9)</f>
        <v>0.2756619718309859</v>
      </c>
    </row>
    <row r="10" spans="1:31" ht="14.4" x14ac:dyDescent="0.3">
      <c r="A10" s="263">
        <f t="shared" si="0"/>
        <v>1978</v>
      </c>
      <c r="B10" s="264" t="str">
        <f t="shared" si="1"/>
        <v>4</v>
      </c>
      <c r="C10" s="306">
        <f t="shared" si="11"/>
        <v>19784</v>
      </c>
      <c r="D10" s="240">
        <v>28825</v>
      </c>
      <c r="E10" s="307">
        <v>2.9</v>
      </c>
      <c r="F10" s="308">
        <v>5.5</v>
      </c>
      <c r="G10" s="308">
        <v>8.5</v>
      </c>
      <c r="H10" s="308">
        <v>14.1</v>
      </c>
      <c r="I10" s="308">
        <v>10.6</v>
      </c>
      <c r="J10" s="308">
        <v>25.4</v>
      </c>
      <c r="K10" s="308">
        <f t="shared" si="12"/>
        <v>33.9</v>
      </c>
      <c r="L10" s="22">
        <f t="shared" si="13"/>
        <v>0.2507374631268437</v>
      </c>
      <c r="M10" s="257"/>
      <c r="N10" s="181">
        <f t="shared" si="2"/>
        <v>2016</v>
      </c>
      <c r="O10" s="309">
        <f t="shared" si="14"/>
        <v>156.70000000000002</v>
      </c>
      <c r="P10" s="309">
        <f t="shared" si="3"/>
        <v>164.5</v>
      </c>
      <c r="Q10" s="309">
        <f t="shared" si="4"/>
        <v>321.3</v>
      </c>
      <c r="R10" s="309">
        <f t="shared" si="5"/>
        <v>696</v>
      </c>
      <c r="S10" s="309">
        <f t="shared" si="6"/>
        <v>386.5</v>
      </c>
      <c r="T10" s="309">
        <f t="shared" si="7"/>
        <v>1082.5</v>
      </c>
      <c r="U10" s="310">
        <f t="shared" si="8"/>
        <v>0.22887875765778604</v>
      </c>
      <c r="V10" s="126"/>
      <c r="W10" s="189" t="str">
        <f t="shared" si="9"/>
        <v>2016-17</v>
      </c>
      <c r="X10" s="311">
        <f t="shared" si="15"/>
        <v>244.6</v>
      </c>
      <c r="Y10" s="311">
        <f t="shared" si="10"/>
        <v>190.4</v>
      </c>
      <c r="Z10" s="311">
        <f t="shared" si="10"/>
        <v>435</v>
      </c>
      <c r="AA10" s="311">
        <f t="shared" si="10"/>
        <v>540.6</v>
      </c>
      <c r="AB10" s="311">
        <f t="shared" si="10"/>
        <v>405.29999999999995</v>
      </c>
      <c r="AC10" s="311">
        <f t="shared" si="10"/>
        <v>946.1</v>
      </c>
      <c r="AD10" s="312">
        <f t="shared" si="16"/>
        <v>0.31496633118528711</v>
      </c>
    </row>
    <row r="11" spans="1:31" ht="14.4" x14ac:dyDescent="0.3">
      <c r="A11" s="263">
        <f t="shared" si="0"/>
        <v>1979</v>
      </c>
      <c r="B11" s="264" t="str">
        <f t="shared" si="1"/>
        <v>1</v>
      </c>
      <c r="C11" s="306">
        <f t="shared" si="11"/>
        <v>19791</v>
      </c>
      <c r="D11" s="240">
        <v>28915</v>
      </c>
      <c r="E11" s="313">
        <v>1.6</v>
      </c>
      <c r="F11" s="314">
        <v>5</v>
      </c>
      <c r="G11" s="314">
        <v>6.5</v>
      </c>
      <c r="H11" s="314">
        <v>29.7</v>
      </c>
      <c r="I11" s="314">
        <v>10.199999999999999</v>
      </c>
      <c r="J11" s="314">
        <v>38.700000000000003</v>
      </c>
      <c r="K11" s="314">
        <f t="shared" si="12"/>
        <v>45.2</v>
      </c>
      <c r="L11" s="223">
        <f t="shared" si="13"/>
        <v>0.14380530973451328</v>
      </c>
      <c r="M11" s="257"/>
      <c r="N11" s="189">
        <f t="shared" si="2"/>
        <v>2017</v>
      </c>
      <c r="O11" s="311">
        <f t="shared" si="14"/>
        <v>244.7</v>
      </c>
      <c r="P11" s="311">
        <f t="shared" si="3"/>
        <v>187.5</v>
      </c>
      <c r="Q11" s="311">
        <f t="shared" si="4"/>
        <v>432.1</v>
      </c>
      <c r="R11" s="311">
        <f t="shared" si="5"/>
        <v>421.7</v>
      </c>
      <c r="S11" s="311">
        <f t="shared" si="6"/>
        <v>366.5</v>
      </c>
      <c r="T11" s="311">
        <f t="shared" si="7"/>
        <v>788.30000000000007</v>
      </c>
      <c r="U11" s="315">
        <f t="shared" si="8"/>
        <v>0.35406424123238284</v>
      </c>
      <c r="V11" s="126"/>
      <c r="W11" s="181" t="str">
        <f t="shared" si="9"/>
        <v>2017-18</v>
      </c>
      <c r="X11" s="309">
        <f t="shared" si="15"/>
        <v>206.3</v>
      </c>
      <c r="Y11" s="309">
        <f t="shared" si="10"/>
        <v>144.5</v>
      </c>
      <c r="Z11" s="309">
        <f t="shared" si="10"/>
        <v>350.9</v>
      </c>
      <c r="AA11" s="309">
        <f t="shared" si="10"/>
        <v>314.39999999999998</v>
      </c>
      <c r="AB11" s="309">
        <f t="shared" si="10"/>
        <v>358.6</v>
      </c>
      <c r="AC11" s="309">
        <f t="shared" si="10"/>
        <v>673</v>
      </c>
      <c r="AD11" s="114">
        <f t="shared" si="16"/>
        <v>0.34270924895009275</v>
      </c>
    </row>
    <row r="12" spans="1:31" ht="14.4" x14ac:dyDescent="0.3">
      <c r="A12" s="263">
        <f t="shared" si="0"/>
        <v>1979</v>
      </c>
      <c r="B12" s="264" t="str">
        <f t="shared" si="1"/>
        <v>2</v>
      </c>
      <c r="C12" s="306">
        <f t="shared" si="11"/>
        <v>19792</v>
      </c>
      <c r="D12" s="240">
        <v>29007</v>
      </c>
      <c r="E12" s="307">
        <v>2.4</v>
      </c>
      <c r="F12" s="308">
        <v>6.1</v>
      </c>
      <c r="G12" s="308">
        <v>8.3000000000000007</v>
      </c>
      <c r="H12" s="308">
        <v>34.9</v>
      </c>
      <c r="I12" s="308">
        <v>9.5</v>
      </c>
      <c r="J12" s="308">
        <v>45.5</v>
      </c>
      <c r="K12" s="308">
        <f t="shared" si="12"/>
        <v>53.8</v>
      </c>
      <c r="L12" s="22">
        <f t="shared" si="13"/>
        <v>0.154275092936803</v>
      </c>
      <c r="M12" s="257"/>
      <c r="N12" s="181">
        <f t="shared" si="2"/>
        <v>2018</v>
      </c>
      <c r="O12" s="309">
        <f t="shared" si="14"/>
        <v>278</v>
      </c>
      <c r="P12" s="309">
        <f t="shared" si="3"/>
        <v>115.6</v>
      </c>
      <c r="Q12" s="309">
        <f t="shared" si="4"/>
        <v>393.70000000000005</v>
      </c>
      <c r="R12" s="309">
        <f t="shared" si="5"/>
        <v>374.1</v>
      </c>
      <c r="S12" s="309">
        <f t="shared" si="6"/>
        <v>372</v>
      </c>
      <c r="T12" s="309">
        <f t="shared" si="7"/>
        <v>746.19999999999993</v>
      </c>
      <c r="U12" s="310">
        <f t="shared" si="8"/>
        <v>0.34538117378717431</v>
      </c>
      <c r="V12" s="126"/>
      <c r="W12" s="189" t="str">
        <f t="shared" si="9"/>
        <v>2018-19</v>
      </c>
      <c r="X12" s="316">
        <f t="shared" si="15"/>
        <v>298.39999999999998</v>
      </c>
      <c r="Y12" s="316">
        <f t="shared" si="10"/>
        <v>141.10000000000002</v>
      </c>
      <c r="Z12" s="316">
        <f t="shared" si="10"/>
        <v>439.6</v>
      </c>
      <c r="AA12" s="316">
        <f t="shared" si="10"/>
        <v>396.5</v>
      </c>
      <c r="AB12" s="316">
        <f t="shared" si="10"/>
        <v>415.6</v>
      </c>
      <c r="AC12" s="316">
        <f t="shared" si="10"/>
        <v>812.09999999999991</v>
      </c>
      <c r="AD12" s="312">
        <f t="shared" si="16"/>
        <v>0.35120236478389399</v>
      </c>
    </row>
    <row r="13" spans="1:31" ht="14.4" x14ac:dyDescent="0.3">
      <c r="A13" s="263">
        <f t="shared" si="0"/>
        <v>1979</v>
      </c>
      <c r="B13" s="264" t="str">
        <f t="shared" si="1"/>
        <v>3</v>
      </c>
      <c r="C13" s="306">
        <f t="shared" si="11"/>
        <v>19793</v>
      </c>
      <c r="D13" s="240">
        <v>29099</v>
      </c>
      <c r="E13" s="313">
        <v>4.7</v>
      </c>
      <c r="F13" s="314">
        <v>7.3</v>
      </c>
      <c r="G13" s="314">
        <v>12.5</v>
      </c>
      <c r="H13" s="314">
        <v>38.9</v>
      </c>
      <c r="I13" s="314">
        <v>8.6999999999999993</v>
      </c>
      <c r="J13" s="314">
        <v>47.9</v>
      </c>
      <c r="K13" s="314">
        <f t="shared" si="12"/>
        <v>60.4</v>
      </c>
      <c r="L13" s="223">
        <f t="shared" si="13"/>
        <v>0.20695364238410596</v>
      </c>
      <c r="M13" s="257"/>
      <c r="N13" s="189">
        <f t="shared" si="2"/>
        <v>2019</v>
      </c>
      <c r="O13" s="311">
        <f t="shared" si="14"/>
        <v>390.4</v>
      </c>
      <c r="P13" s="311">
        <f t="shared" si="3"/>
        <v>188.7</v>
      </c>
      <c r="Q13" s="311">
        <f t="shared" si="4"/>
        <v>579.20000000000005</v>
      </c>
      <c r="R13" s="311">
        <f t="shared" si="5"/>
        <v>386.5</v>
      </c>
      <c r="S13" s="311">
        <f t="shared" si="6"/>
        <v>398.1</v>
      </c>
      <c r="T13" s="311">
        <f t="shared" si="7"/>
        <v>784.60000000000014</v>
      </c>
      <c r="U13" s="315">
        <f t="shared" si="8"/>
        <v>0.42469570318228478</v>
      </c>
      <c r="V13" s="126"/>
      <c r="W13" s="181" t="str">
        <f t="shared" si="9"/>
        <v>2019-20</v>
      </c>
      <c r="X13" s="317">
        <f t="shared" si="15"/>
        <v>473.9</v>
      </c>
      <c r="Y13" s="317">
        <f t="shared" si="10"/>
        <v>194.8</v>
      </c>
      <c r="Z13" s="317">
        <f t="shared" si="10"/>
        <v>668.7</v>
      </c>
      <c r="AA13" s="317">
        <f t="shared" si="10"/>
        <v>235.1</v>
      </c>
      <c r="AB13" s="317">
        <f t="shared" si="10"/>
        <v>352.3</v>
      </c>
      <c r="AC13" s="317">
        <f t="shared" si="10"/>
        <v>587.29999999999995</v>
      </c>
      <c r="AD13" s="114">
        <f t="shared" si="16"/>
        <v>0.5324044585987262</v>
      </c>
      <c r="AE13" s="300"/>
    </row>
    <row r="14" spans="1:31" ht="14.4" x14ac:dyDescent="0.3">
      <c r="A14" s="263">
        <f t="shared" si="0"/>
        <v>1979</v>
      </c>
      <c r="B14" s="264" t="str">
        <f t="shared" si="1"/>
        <v>4</v>
      </c>
      <c r="C14" s="306">
        <f t="shared" si="11"/>
        <v>19794</v>
      </c>
      <c r="D14" s="240">
        <v>29190</v>
      </c>
      <c r="E14" s="307">
        <v>7.3</v>
      </c>
      <c r="F14" s="308">
        <v>10.5</v>
      </c>
      <c r="G14" s="308">
        <v>18</v>
      </c>
      <c r="H14" s="308">
        <v>36.299999999999997</v>
      </c>
      <c r="I14" s="308">
        <v>11.3</v>
      </c>
      <c r="J14" s="308">
        <v>47.3</v>
      </c>
      <c r="K14" s="308">
        <f t="shared" si="12"/>
        <v>65.3</v>
      </c>
      <c r="L14" s="22">
        <f t="shared" si="13"/>
        <v>0.27565084226646247</v>
      </c>
      <c r="M14" s="257"/>
      <c r="N14" s="181">
        <f t="shared" si="2"/>
        <v>2020</v>
      </c>
      <c r="O14" s="309">
        <f t="shared" si="14"/>
        <v>386.09999999999997</v>
      </c>
      <c r="P14" s="309">
        <f t="shared" si="3"/>
        <v>218.1</v>
      </c>
      <c r="Q14" s="309">
        <f t="shared" si="4"/>
        <v>604.20000000000005</v>
      </c>
      <c r="R14" s="309">
        <f t="shared" si="5"/>
        <v>82.5</v>
      </c>
      <c r="S14" s="309">
        <f t="shared" si="6"/>
        <v>312.90000000000003</v>
      </c>
      <c r="T14" s="309">
        <f t="shared" si="7"/>
        <v>395.4</v>
      </c>
      <c r="U14" s="310">
        <f t="shared" si="8"/>
        <v>0.60444177671068433</v>
      </c>
      <c r="V14" s="126"/>
      <c r="W14" s="189" t="str">
        <f t="shared" si="9"/>
        <v>2020-21</v>
      </c>
      <c r="X14" s="316">
        <f t="shared" si="15"/>
        <v>389.00000000000006</v>
      </c>
      <c r="Y14" s="316">
        <f t="shared" si="10"/>
        <v>240.5</v>
      </c>
      <c r="Z14" s="316">
        <f t="shared" si="10"/>
        <v>629.5</v>
      </c>
      <c r="AA14" s="316">
        <f t="shared" si="10"/>
        <v>80.199999999999989</v>
      </c>
      <c r="AB14" s="316">
        <f t="shared" si="10"/>
        <v>290.7</v>
      </c>
      <c r="AC14" s="316">
        <f t="shared" si="10"/>
        <v>370.9</v>
      </c>
      <c r="AD14" s="312">
        <f t="shared" si="16"/>
        <v>0.62924830067972815</v>
      </c>
      <c r="AE14" s="300"/>
    </row>
    <row r="15" spans="1:31" ht="14.4" x14ac:dyDescent="0.3">
      <c r="A15" s="263">
        <f t="shared" si="0"/>
        <v>1980</v>
      </c>
      <c r="B15" s="264" t="str">
        <f t="shared" si="1"/>
        <v>1</v>
      </c>
      <c r="C15" s="306">
        <f t="shared" si="11"/>
        <v>19801</v>
      </c>
      <c r="D15" s="240">
        <v>29281</v>
      </c>
      <c r="E15" s="313">
        <v>10.8</v>
      </c>
      <c r="F15" s="314">
        <v>10.9</v>
      </c>
      <c r="G15" s="314">
        <v>21.4</v>
      </c>
      <c r="H15" s="314">
        <v>43.6</v>
      </c>
      <c r="I15" s="314">
        <v>7</v>
      </c>
      <c r="J15" s="314">
        <v>50.2</v>
      </c>
      <c r="K15" s="314">
        <f t="shared" si="12"/>
        <v>71.599999999999994</v>
      </c>
      <c r="L15" s="223">
        <f t="shared" si="13"/>
        <v>0.2988826815642458</v>
      </c>
      <c r="M15" s="257"/>
      <c r="N15" s="189">
        <f t="shared" si="2"/>
        <v>2021</v>
      </c>
      <c r="O15" s="311">
        <f t="shared" si="14"/>
        <v>478.5</v>
      </c>
      <c r="P15" s="311">
        <f t="shared" si="3"/>
        <v>245.40000000000003</v>
      </c>
      <c r="Q15" s="311">
        <f t="shared" si="4"/>
        <v>723.90000000000009</v>
      </c>
      <c r="R15" s="311">
        <f t="shared" si="5"/>
        <v>114.9</v>
      </c>
      <c r="S15" s="311">
        <f t="shared" si="6"/>
        <v>283.7</v>
      </c>
      <c r="T15" s="311">
        <f t="shared" si="7"/>
        <v>398.4</v>
      </c>
      <c r="U15" s="315">
        <f t="shared" si="8"/>
        <v>0.64501470195134991</v>
      </c>
      <c r="V15" s="126"/>
      <c r="W15" s="181" t="str">
        <f t="shared" si="9"/>
        <v>2021-22</v>
      </c>
      <c r="X15" s="317">
        <f t="shared" si="15"/>
        <v>441.9</v>
      </c>
      <c r="Y15" s="317">
        <f t="shared" si="10"/>
        <v>240.6</v>
      </c>
      <c r="Z15" s="317">
        <f t="shared" si="10"/>
        <v>682.5</v>
      </c>
      <c r="AA15" s="317">
        <f t="shared" si="10"/>
        <v>219.10000000000002</v>
      </c>
      <c r="AB15" s="317">
        <f t="shared" si="10"/>
        <v>246.60000000000002</v>
      </c>
      <c r="AC15" s="317">
        <f t="shared" si="10"/>
        <v>465.7</v>
      </c>
      <c r="AD15" s="114">
        <f t="shared" si="16"/>
        <v>0.59440863960982404</v>
      </c>
      <c r="AE15" s="300"/>
    </row>
    <row r="16" spans="1:31" ht="14.4" x14ac:dyDescent="0.3">
      <c r="A16" s="263">
        <f t="shared" si="0"/>
        <v>1980</v>
      </c>
      <c r="B16" s="264" t="str">
        <f t="shared" si="1"/>
        <v>2</v>
      </c>
      <c r="C16" s="306">
        <f t="shared" si="11"/>
        <v>19802</v>
      </c>
      <c r="D16" s="240">
        <v>29373</v>
      </c>
      <c r="E16" s="307">
        <v>13.3</v>
      </c>
      <c r="F16" s="308">
        <v>21.3</v>
      </c>
      <c r="G16" s="308">
        <v>32.799999999999997</v>
      </c>
      <c r="H16" s="308">
        <v>51.4</v>
      </c>
      <c r="I16" s="308">
        <v>12.1</v>
      </c>
      <c r="J16" s="308">
        <v>65</v>
      </c>
      <c r="K16" s="308">
        <f t="shared" si="12"/>
        <v>97.8</v>
      </c>
      <c r="L16" s="22">
        <f t="shared" si="13"/>
        <v>0.33537832310838445</v>
      </c>
      <c r="M16" s="257"/>
      <c r="N16" s="181">
        <f t="shared" si="2"/>
        <v>2022</v>
      </c>
      <c r="O16" s="309">
        <f t="shared" si="14"/>
        <v>370</v>
      </c>
      <c r="P16" s="309">
        <f t="shared" si="3"/>
        <v>228</v>
      </c>
      <c r="Q16" s="309">
        <f t="shared" si="4"/>
        <v>598</v>
      </c>
      <c r="R16" s="309">
        <f t="shared" si="5"/>
        <v>171.00000000000003</v>
      </c>
      <c r="S16" s="309">
        <f t="shared" si="6"/>
        <v>215.4</v>
      </c>
      <c r="T16" s="309">
        <f t="shared" si="7"/>
        <v>386.6</v>
      </c>
      <c r="U16" s="310">
        <f t="shared" si="8"/>
        <v>0.60735323989437329</v>
      </c>
      <c r="V16" s="126"/>
      <c r="W16" s="189" t="str">
        <f>LEFT(W17,4)-1 &amp; "-" &amp; RIGHT(W17,2)-1</f>
        <v>2022-23</v>
      </c>
      <c r="X16" s="316">
        <f t="shared" si="15"/>
        <v>345</v>
      </c>
      <c r="Y16" s="316">
        <f t="shared" si="10"/>
        <v>251.70000000000002</v>
      </c>
      <c r="Z16" s="316">
        <f t="shared" si="10"/>
        <v>596.70000000000005</v>
      </c>
      <c r="AA16" s="316">
        <f t="shared" si="10"/>
        <v>94.199999999999989</v>
      </c>
      <c r="AB16" s="316">
        <f t="shared" si="10"/>
        <v>223.79999999999998</v>
      </c>
      <c r="AC16" s="316">
        <f t="shared" si="10"/>
        <v>318</v>
      </c>
      <c r="AD16" s="312">
        <f t="shared" si="16"/>
        <v>0.65234503115775666</v>
      </c>
      <c r="AE16" s="300"/>
    </row>
    <row r="17" spans="1:30" ht="15" thickBot="1" x14ac:dyDescent="0.35">
      <c r="A17" s="263">
        <f t="shared" si="0"/>
        <v>1980</v>
      </c>
      <c r="B17" s="264" t="str">
        <f t="shared" si="1"/>
        <v>3</v>
      </c>
      <c r="C17" s="306">
        <f t="shared" si="11"/>
        <v>19803</v>
      </c>
      <c r="D17" s="240">
        <v>29465</v>
      </c>
      <c r="E17" s="313">
        <v>13.9</v>
      </c>
      <c r="F17" s="314">
        <v>16.5</v>
      </c>
      <c r="G17" s="314">
        <v>32</v>
      </c>
      <c r="H17" s="314">
        <v>52.6</v>
      </c>
      <c r="I17" s="314">
        <v>15.6</v>
      </c>
      <c r="J17" s="314">
        <v>67.3</v>
      </c>
      <c r="K17" s="314">
        <f t="shared" si="12"/>
        <v>99.3</v>
      </c>
      <c r="L17" s="223">
        <f t="shared" si="13"/>
        <v>0.32225579053373615</v>
      </c>
      <c r="M17" s="257"/>
      <c r="N17" s="318">
        <f>YEAR(LARGE(D:D, 4))</f>
        <v>2023</v>
      </c>
      <c r="O17" s="319">
        <f t="shared" si="14"/>
        <v>371</v>
      </c>
      <c r="P17" s="319">
        <f t="shared" si="3"/>
        <v>286.8</v>
      </c>
      <c r="Q17" s="319">
        <f t="shared" si="4"/>
        <v>657.8</v>
      </c>
      <c r="R17" s="319">
        <f t="shared" si="5"/>
        <v>164.5</v>
      </c>
      <c r="S17" s="319">
        <f t="shared" si="6"/>
        <v>236.8</v>
      </c>
      <c r="T17" s="319">
        <f t="shared" si="7"/>
        <v>401.20000000000005</v>
      </c>
      <c r="U17" s="320">
        <f t="shared" si="8"/>
        <v>0.62115203021718601</v>
      </c>
      <c r="V17" s="126"/>
      <c r="W17" s="195" t="str">
        <f>IF(MONTH(LARGE(D:D,4))&gt;=7, YEAR(LARGE(D:D,4)) &amp; "-" &amp; RIGHT(YEAR(LARGE(D:D,4))+1, 2),
                                                               YEAR(LARGE(D:D,4))-1 &amp; "-" &amp; RIGHT(YEAR(LARGE(D:D,4)), 2)
)</f>
        <v>2023-24</v>
      </c>
      <c r="X17" s="321">
        <f t="shared" si="15"/>
        <v>491.8</v>
      </c>
      <c r="Y17" s="321">
        <f t="shared" si="10"/>
        <v>312.89999999999998</v>
      </c>
      <c r="Z17" s="321">
        <f t="shared" si="10"/>
        <v>804.69999999999993</v>
      </c>
      <c r="AA17" s="321">
        <f t="shared" si="10"/>
        <v>219.6</v>
      </c>
      <c r="AB17" s="321">
        <f t="shared" si="10"/>
        <v>247.10000000000002</v>
      </c>
      <c r="AC17" s="321">
        <f t="shared" si="10"/>
        <v>466.79999999999995</v>
      </c>
      <c r="AD17" s="322">
        <f t="shared" si="16"/>
        <v>0.63287455760912303</v>
      </c>
    </row>
    <row r="18" spans="1:30" ht="14.4" x14ac:dyDescent="0.3">
      <c r="A18" s="263">
        <f t="shared" si="0"/>
        <v>1980</v>
      </c>
      <c r="B18" s="264" t="str">
        <f t="shared" si="1"/>
        <v>4</v>
      </c>
      <c r="C18" s="306">
        <f t="shared" si="11"/>
        <v>19804</v>
      </c>
      <c r="D18" s="240">
        <v>29556</v>
      </c>
      <c r="E18" s="307">
        <v>14.1</v>
      </c>
      <c r="F18" s="308">
        <v>21.2</v>
      </c>
      <c r="G18" s="308">
        <v>35.1</v>
      </c>
      <c r="H18" s="308">
        <v>40.4</v>
      </c>
      <c r="I18" s="308">
        <v>12.5</v>
      </c>
      <c r="J18" s="308">
        <v>53.4</v>
      </c>
      <c r="K18" s="308">
        <f t="shared" si="12"/>
        <v>88.5</v>
      </c>
      <c r="L18" s="22">
        <f t="shared" si="13"/>
        <v>0.39661016949152544</v>
      </c>
      <c r="M18" s="257"/>
      <c r="S18" s="260"/>
    </row>
    <row r="19" spans="1:30" ht="14.4" x14ac:dyDescent="0.3">
      <c r="A19" s="263">
        <f t="shared" si="0"/>
        <v>1981</v>
      </c>
      <c r="B19" s="264" t="str">
        <f t="shared" si="1"/>
        <v>1</v>
      </c>
      <c r="C19" s="306">
        <f t="shared" si="11"/>
        <v>19811</v>
      </c>
      <c r="D19" s="240">
        <v>29646</v>
      </c>
      <c r="E19" s="313">
        <v>19.899999999999999</v>
      </c>
      <c r="F19" s="314">
        <v>26.1</v>
      </c>
      <c r="G19" s="314">
        <v>46.6</v>
      </c>
      <c r="H19" s="314">
        <v>23</v>
      </c>
      <c r="I19" s="314">
        <v>17.399999999999999</v>
      </c>
      <c r="J19" s="314">
        <v>39.1</v>
      </c>
      <c r="K19" s="314">
        <f t="shared" si="12"/>
        <v>85.7</v>
      </c>
      <c r="L19" s="223">
        <f t="shared" si="13"/>
        <v>0.54375729288214703</v>
      </c>
      <c r="V19" s="260"/>
    </row>
    <row r="20" spans="1:30" ht="14.4" x14ac:dyDescent="0.3">
      <c r="A20" s="263">
        <f t="shared" si="0"/>
        <v>1981</v>
      </c>
      <c r="B20" s="264" t="str">
        <f t="shared" si="1"/>
        <v>2</v>
      </c>
      <c r="C20" s="306">
        <f t="shared" si="11"/>
        <v>19812</v>
      </c>
      <c r="D20" s="240">
        <v>29738</v>
      </c>
      <c r="E20" s="307">
        <v>30.6</v>
      </c>
      <c r="F20" s="308">
        <v>32.6</v>
      </c>
      <c r="G20" s="308">
        <v>58.8</v>
      </c>
      <c r="H20" s="308">
        <v>24</v>
      </c>
      <c r="I20" s="308">
        <v>14.6</v>
      </c>
      <c r="J20" s="308">
        <v>38.9</v>
      </c>
      <c r="K20" s="308">
        <f t="shared" si="12"/>
        <v>97.699999999999989</v>
      </c>
      <c r="L20" s="22">
        <f t="shared" si="13"/>
        <v>0.60184237461617196</v>
      </c>
      <c r="V20" s="260"/>
    </row>
    <row r="21" spans="1:30" ht="14.4" x14ac:dyDescent="0.3">
      <c r="A21" s="263">
        <f t="shared" si="0"/>
        <v>1981</v>
      </c>
      <c r="B21" s="264" t="str">
        <f t="shared" si="1"/>
        <v>3</v>
      </c>
      <c r="C21" s="306">
        <f t="shared" si="11"/>
        <v>19813</v>
      </c>
      <c r="D21" s="240">
        <v>29830</v>
      </c>
      <c r="E21" s="313">
        <v>21.4</v>
      </c>
      <c r="F21" s="314">
        <v>40.6</v>
      </c>
      <c r="G21" s="314">
        <v>66.099999999999994</v>
      </c>
      <c r="H21" s="314">
        <v>34.200000000000003</v>
      </c>
      <c r="I21" s="314">
        <v>17.7</v>
      </c>
      <c r="J21" s="314">
        <v>50.9</v>
      </c>
      <c r="K21" s="314">
        <f t="shared" si="12"/>
        <v>117</v>
      </c>
      <c r="L21" s="223">
        <f t="shared" si="13"/>
        <v>0.56495726495726495</v>
      </c>
      <c r="V21" s="260"/>
    </row>
    <row r="22" spans="1:30" ht="14.4" x14ac:dyDescent="0.3">
      <c r="A22" s="263">
        <f t="shared" si="0"/>
        <v>1981</v>
      </c>
      <c r="B22" s="264" t="str">
        <f t="shared" si="1"/>
        <v>4</v>
      </c>
      <c r="C22" s="306">
        <f t="shared" si="11"/>
        <v>19814</v>
      </c>
      <c r="D22" s="240">
        <v>29921</v>
      </c>
      <c r="E22" s="307">
        <v>42.5</v>
      </c>
      <c r="F22" s="308">
        <v>46.5</v>
      </c>
      <c r="G22" s="308">
        <v>88.3</v>
      </c>
      <c r="H22" s="308">
        <v>70.8</v>
      </c>
      <c r="I22" s="308">
        <v>26.8</v>
      </c>
      <c r="J22" s="308">
        <v>99.8</v>
      </c>
      <c r="K22" s="308">
        <f t="shared" si="12"/>
        <v>188.1</v>
      </c>
      <c r="L22" s="22">
        <f t="shared" si="13"/>
        <v>0.46943115364167998</v>
      </c>
      <c r="V22" s="260"/>
    </row>
    <row r="23" spans="1:30" ht="14.4" x14ac:dyDescent="0.3">
      <c r="A23" s="263">
        <f t="shared" si="0"/>
        <v>1982</v>
      </c>
      <c r="B23" s="264" t="str">
        <f t="shared" si="1"/>
        <v>1</v>
      </c>
      <c r="C23" s="306">
        <f t="shared" si="11"/>
        <v>19821</v>
      </c>
      <c r="D23" s="240">
        <v>30011</v>
      </c>
      <c r="E23" s="313">
        <v>61</v>
      </c>
      <c r="F23" s="314">
        <v>61.2</v>
      </c>
      <c r="G23" s="314">
        <v>124</v>
      </c>
      <c r="H23" s="314">
        <v>111.9</v>
      </c>
      <c r="I23" s="314">
        <v>22.9</v>
      </c>
      <c r="J23" s="314">
        <v>135.30000000000001</v>
      </c>
      <c r="K23" s="314">
        <f t="shared" si="12"/>
        <v>259.3</v>
      </c>
      <c r="L23" s="223">
        <f t="shared" si="13"/>
        <v>0.47821056691091396</v>
      </c>
      <c r="V23" s="260"/>
    </row>
    <row r="24" spans="1:30" ht="14.4" x14ac:dyDescent="0.3">
      <c r="A24" s="263">
        <f t="shared" si="0"/>
        <v>1982</v>
      </c>
      <c r="B24" s="264" t="str">
        <f t="shared" si="1"/>
        <v>2</v>
      </c>
      <c r="C24" s="306">
        <f t="shared" si="11"/>
        <v>19822</v>
      </c>
      <c r="D24" s="240">
        <v>30103</v>
      </c>
      <c r="E24" s="307">
        <v>59.7</v>
      </c>
      <c r="F24" s="308">
        <v>56.3</v>
      </c>
      <c r="G24" s="308">
        <v>108.8</v>
      </c>
      <c r="H24" s="308">
        <v>113.8</v>
      </c>
      <c r="I24" s="308">
        <v>23.5</v>
      </c>
      <c r="J24" s="308">
        <v>138.19999999999999</v>
      </c>
      <c r="K24" s="308">
        <f t="shared" si="12"/>
        <v>247</v>
      </c>
      <c r="L24" s="22">
        <f t="shared" si="13"/>
        <v>0.44048582995951419</v>
      </c>
      <c r="V24" s="260"/>
    </row>
    <row r="25" spans="1:30" ht="14.4" x14ac:dyDescent="0.3">
      <c r="A25" s="263">
        <f t="shared" si="0"/>
        <v>1982</v>
      </c>
      <c r="B25" s="264" t="str">
        <f t="shared" si="1"/>
        <v>3</v>
      </c>
      <c r="C25" s="306">
        <f t="shared" si="11"/>
        <v>19823</v>
      </c>
      <c r="D25" s="240">
        <v>30195</v>
      </c>
      <c r="E25" s="313">
        <v>63.4</v>
      </c>
      <c r="F25" s="314">
        <v>63.2</v>
      </c>
      <c r="G25" s="314">
        <v>133.19999999999999</v>
      </c>
      <c r="H25" s="314">
        <v>99.8</v>
      </c>
      <c r="I25" s="314">
        <v>26.8</v>
      </c>
      <c r="J25" s="314">
        <v>122.6</v>
      </c>
      <c r="K25" s="314">
        <f t="shared" si="12"/>
        <v>255.79999999999998</v>
      </c>
      <c r="L25" s="223">
        <f t="shared" si="13"/>
        <v>0.52071931196247068</v>
      </c>
      <c r="V25" s="260"/>
    </row>
    <row r="26" spans="1:30" ht="14.4" x14ac:dyDescent="0.3">
      <c r="A26" s="263">
        <f t="shared" si="0"/>
        <v>1982</v>
      </c>
      <c r="B26" s="264" t="str">
        <f t="shared" si="1"/>
        <v>4</v>
      </c>
      <c r="C26" s="306">
        <f t="shared" si="11"/>
        <v>19824</v>
      </c>
      <c r="D26" s="240">
        <v>30286</v>
      </c>
      <c r="E26" s="307">
        <v>44.3</v>
      </c>
      <c r="F26" s="308">
        <v>43.3</v>
      </c>
      <c r="G26" s="308">
        <v>87.2</v>
      </c>
      <c r="H26" s="308">
        <v>144.4</v>
      </c>
      <c r="I26" s="308">
        <v>15.5</v>
      </c>
      <c r="J26" s="308">
        <v>164.1</v>
      </c>
      <c r="K26" s="308">
        <f t="shared" si="12"/>
        <v>251.3</v>
      </c>
      <c r="L26" s="22">
        <f t="shared" si="13"/>
        <v>0.34699562276163948</v>
      </c>
      <c r="V26" s="260"/>
    </row>
    <row r="27" spans="1:30" ht="14.4" x14ac:dyDescent="0.3">
      <c r="A27" s="263">
        <f t="shared" si="0"/>
        <v>1983</v>
      </c>
      <c r="B27" s="264" t="str">
        <f t="shared" si="1"/>
        <v>1</v>
      </c>
      <c r="C27" s="306">
        <f t="shared" si="11"/>
        <v>19831</v>
      </c>
      <c r="D27" s="240">
        <v>30376</v>
      </c>
      <c r="E27" s="313">
        <v>33</v>
      </c>
      <c r="F27" s="314">
        <v>31.2</v>
      </c>
      <c r="G27" s="314">
        <v>64.400000000000006</v>
      </c>
      <c r="H27" s="314">
        <v>144.6</v>
      </c>
      <c r="I27" s="314">
        <v>14.5</v>
      </c>
      <c r="J27" s="314">
        <v>158.80000000000001</v>
      </c>
      <c r="K27" s="314">
        <f t="shared" si="12"/>
        <v>223.20000000000002</v>
      </c>
      <c r="L27" s="223">
        <f t="shared" si="13"/>
        <v>0.28853046594982079</v>
      </c>
      <c r="V27" s="260"/>
    </row>
    <row r="28" spans="1:30" ht="14.4" x14ac:dyDescent="0.3">
      <c r="A28" s="263">
        <f t="shared" si="0"/>
        <v>1983</v>
      </c>
      <c r="B28" s="264" t="str">
        <f t="shared" si="1"/>
        <v>2</v>
      </c>
      <c r="C28" s="306">
        <f t="shared" si="11"/>
        <v>19832</v>
      </c>
      <c r="D28" s="240">
        <v>30468</v>
      </c>
      <c r="E28" s="307">
        <v>28.9</v>
      </c>
      <c r="F28" s="308">
        <v>24.6</v>
      </c>
      <c r="G28" s="308">
        <v>51.2</v>
      </c>
      <c r="H28" s="308">
        <v>121.9</v>
      </c>
      <c r="I28" s="308">
        <v>15.1</v>
      </c>
      <c r="J28" s="308">
        <v>136.6</v>
      </c>
      <c r="K28" s="308">
        <f t="shared" si="12"/>
        <v>187.8</v>
      </c>
      <c r="L28" s="22">
        <f t="shared" si="13"/>
        <v>0.27263045793397234</v>
      </c>
    </row>
    <row r="29" spans="1:30" ht="14.4" x14ac:dyDescent="0.3">
      <c r="A29" s="263">
        <f t="shared" si="0"/>
        <v>1983</v>
      </c>
      <c r="B29" s="264" t="str">
        <f t="shared" si="1"/>
        <v>3</v>
      </c>
      <c r="C29" s="306">
        <f t="shared" si="11"/>
        <v>19833</v>
      </c>
      <c r="D29" s="240">
        <v>30560</v>
      </c>
      <c r="E29" s="313">
        <v>26.4</v>
      </c>
      <c r="F29" s="314">
        <v>27.8</v>
      </c>
      <c r="G29" s="314">
        <v>56.5</v>
      </c>
      <c r="H29" s="314">
        <v>143.69999999999999</v>
      </c>
      <c r="I29" s="314">
        <v>16.899999999999999</v>
      </c>
      <c r="J29" s="314">
        <v>161.6</v>
      </c>
      <c r="K29" s="314">
        <f t="shared" si="12"/>
        <v>218.1</v>
      </c>
      <c r="L29" s="223">
        <f t="shared" si="13"/>
        <v>0.25905547913801008</v>
      </c>
    </row>
    <row r="30" spans="1:30" ht="14.4" x14ac:dyDescent="0.3">
      <c r="A30" s="263">
        <f t="shared" si="0"/>
        <v>1983</v>
      </c>
      <c r="B30" s="264" t="str">
        <f t="shared" si="1"/>
        <v>4</v>
      </c>
      <c r="C30" s="306">
        <f t="shared" si="11"/>
        <v>19834</v>
      </c>
      <c r="D30" s="240">
        <v>30651</v>
      </c>
      <c r="E30" s="307">
        <v>39.4</v>
      </c>
      <c r="F30" s="308">
        <v>30.4</v>
      </c>
      <c r="G30" s="308">
        <v>69.900000000000006</v>
      </c>
      <c r="H30" s="308">
        <v>117.1</v>
      </c>
      <c r="I30" s="308">
        <v>15.8</v>
      </c>
      <c r="J30" s="308">
        <v>131.9</v>
      </c>
      <c r="K30" s="308">
        <f t="shared" si="12"/>
        <v>201.8</v>
      </c>
      <c r="L30" s="22">
        <f t="shared" si="13"/>
        <v>0.34638255698711595</v>
      </c>
    </row>
    <row r="31" spans="1:30" ht="14.4" x14ac:dyDescent="0.3">
      <c r="A31" s="263">
        <f t="shared" si="0"/>
        <v>1984</v>
      </c>
      <c r="B31" s="264" t="str">
        <f t="shared" si="1"/>
        <v>1</v>
      </c>
      <c r="C31" s="306">
        <f t="shared" si="11"/>
        <v>19841</v>
      </c>
      <c r="D31" s="240">
        <v>30742</v>
      </c>
      <c r="E31" s="313">
        <v>33.700000000000003</v>
      </c>
      <c r="F31" s="314">
        <v>38.299999999999997</v>
      </c>
      <c r="G31" s="314">
        <v>71.599999999999994</v>
      </c>
      <c r="H31" s="314">
        <v>96.7</v>
      </c>
      <c r="I31" s="314">
        <v>16.100000000000001</v>
      </c>
      <c r="J31" s="314">
        <v>111.3</v>
      </c>
      <c r="K31" s="314">
        <f t="shared" si="12"/>
        <v>182.89999999999998</v>
      </c>
      <c r="L31" s="223">
        <f t="shared" si="13"/>
        <v>0.39147074904319301</v>
      </c>
    </row>
    <row r="32" spans="1:30" ht="14.4" x14ac:dyDescent="0.3">
      <c r="A32" s="263">
        <f t="shared" si="0"/>
        <v>1984</v>
      </c>
      <c r="B32" s="264" t="str">
        <f t="shared" si="1"/>
        <v>2</v>
      </c>
      <c r="C32" s="306">
        <f t="shared" si="11"/>
        <v>19842</v>
      </c>
      <c r="D32" s="240">
        <v>30834</v>
      </c>
      <c r="E32" s="307">
        <v>39.200000000000003</v>
      </c>
      <c r="F32" s="308">
        <v>47.6</v>
      </c>
      <c r="G32" s="308">
        <v>85.5</v>
      </c>
      <c r="H32" s="308">
        <v>114.4</v>
      </c>
      <c r="I32" s="308">
        <v>18.3</v>
      </c>
      <c r="J32" s="308">
        <v>134.4</v>
      </c>
      <c r="K32" s="308">
        <f t="shared" si="12"/>
        <v>219.9</v>
      </c>
      <c r="L32" s="22">
        <f t="shared" si="13"/>
        <v>0.38881309686221011</v>
      </c>
    </row>
    <row r="33" spans="1:12" ht="14.4" x14ac:dyDescent="0.3">
      <c r="A33" s="263">
        <f t="shared" si="0"/>
        <v>1984</v>
      </c>
      <c r="B33" s="264" t="str">
        <f t="shared" si="1"/>
        <v>3</v>
      </c>
      <c r="C33" s="306">
        <f t="shared" si="11"/>
        <v>19843</v>
      </c>
      <c r="D33" s="240">
        <v>30926</v>
      </c>
      <c r="E33" s="313">
        <v>57.1</v>
      </c>
      <c r="F33" s="314">
        <v>43.4</v>
      </c>
      <c r="G33" s="314">
        <v>103.1</v>
      </c>
      <c r="H33" s="314">
        <v>84.4</v>
      </c>
      <c r="I33" s="314">
        <v>14</v>
      </c>
      <c r="J33" s="314">
        <v>101</v>
      </c>
      <c r="K33" s="314">
        <f t="shared" si="12"/>
        <v>204.1</v>
      </c>
      <c r="L33" s="223">
        <f t="shared" si="13"/>
        <v>0.50514453699167072</v>
      </c>
    </row>
    <row r="34" spans="1:12" ht="14.4" x14ac:dyDescent="0.3">
      <c r="A34" s="263">
        <f t="shared" si="0"/>
        <v>1984</v>
      </c>
      <c r="B34" s="264" t="str">
        <f t="shared" si="1"/>
        <v>4</v>
      </c>
      <c r="C34" s="306">
        <f t="shared" si="11"/>
        <v>19844</v>
      </c>
      <c r="D34" s="240">
        <v>31017</v>
      </c>
      <c r="E34" s="307">
        <v>47.8</v>
      </c>
      <c r="F34" s="308">
        <v>46.5</v>
      </c>
      <c r="G34" s="308">
        <v>93.3</v>
      </c>
      <c r="H34" s="308">
        <v>60.5</v>
      </c>
      <c r="I34" s="308">
        <v>19.3</v>
      </c>
      <c r="J34" s="308">
        <v>76.900000000000006</v>
      </c>
      <c r="K34" s="308">
        <f t="shared" si="12"/>
        <v>170.2</v>
      </c>
      <c r="L34" s="22">
        <f t="shared" si="13"/>
        <v>0.54817861339600471</v>
      </c>
    </row>
    <row r="35" spans="1:12" ht="14.4" x14ac:dyDescent="0.3">
      <c r="A35" s="263">
        <f t="shared" si="0"/>
        <v>1985</v>
      </c>
      <c r="B35" s="264" t="str">
        <f t="shared" si="1"/>
        <v>1</v>
      </c>
      <c r="C35" s="306">
        <f t="shared" si="11"/>
        <v>19851</v>
      </c>
      <c r="D35" s="240">
        <v>31107</v>
      </c>
      <c r="E35" s="313">
        <v>52.4</v>
      </c>
      <c r="F35" s="314">
        <v>49.6</v>
      </c>
      <c r="G35" s="314">
        <v>100.7</v>
      </c>
      <c r="H35" s="314">
        <v>61.8</v>
      </c>
      <c r="I35" s="314">
        <v>25.4</v>
      </c>
      <c r="J35" s="314">
        <v>89.2</v>
      </c>
      <c r="K35" s="314">
        <f t="shared" si="12"/>
        <v>189.9</v>
      </c>
      <c r="L35" s="223">
        <f t="shared" si="13"/>
        <v>0.53027909426013686</v>
      </c>
    </row>
    <row r="36" spans="1:12" ht="14.4" x14ac:dyDescent="0.3">
      <c r="A36" s="263">
        <f t="shared" si="0"/>
        <v>1985</v>
      </c>
      <c r="B36" s="264" t="str">
        <f t="shared" si="1"/>
        <v>2</v>
      </c>
      <c r="C36" s="306">
        <f t="shared" si="11"/>
        <v>19852</v>
      </c>
      <c r="D36" s="240">
        <v>31199</v>
      </c>
      <c r="E36" s="307">
        <v>66.7</v>
      </c>
      <c r="F36" s="308">
        <v>55.2</v>
      </c>
      <c r="G36" s="308">
        <v>121.7</v>
      </c>
      <c r="H36" s="308">
        <v>77.400000000000006</v>
      </c>
      <c r="I36" s="308">
        <v>28.5</v>
      </c>
      <c r="J36" s="308">
        <v>106.1</v>
      </c>
      <c r="K36" s="308">
        <f t="shared" si="12"/>
        <v>227.8</v>
      </c>
      <c r="L36" s="22">
        <f t="shared" si="13"/>
        <v>0.53424056189640035</v>
      </c>
    </row>
    <row r="37" spans="1:12" ht="14.4" x14ac:dyDescent="0.3">
      <c r="A37" s="263">
        <f t="shared" si="0"/>
        <v>1985</v>
      </c>
      <c r="B37" s="264" t="str">
        <f t="shared" si="1"/>
        <v>3</v>
      </c>
      <c r="C37" s="306">
        <f t="shared" si="11"/>
        <v>19853</v>
      </c>
      <c r="D37" s="240">
        <v>31291</v>
      </c>
      <c r="E37" s="313">
        <v>54</v>
      </c>
      <c r="F37" s="314">
        <v>61.6</v>
      </c>
      <c r="G37" s="314">
        <v>118.3</v>
      </c>
      <c r="H37" s="314">
        <v>90.2</v>
      </c>
      <c r="I37" s="314">
        <v>25.6</v>
      </c>
      <c r="J37" s="314">
        <v>119.4</v>
      </c>
      <c r="K37" s="314">
        <f t="shared" si="12"/>
        <v>237.7</v>
      </c>
      <c r="L37" s="223">
        <f t="shared" si="13"/>
        <v>0.49768615902397983</v>
      </c>
    </row>
    <row r="38" spans="1:12" ht="14.4" x14ac:dyDescent="0.3">
      <c r="A38" s="263">
        <f t="shared" si="0"/>
        <v>1985</v>
      </c>
      <c r="B38" s="264" t="str">
        <f t="shared" si="1"/>
        <v>4</v>
      </c>
      <c r="C38" s="306">
        <f t="shared" si="11"/>
        <v>19854</v>
      </c>
      <c r="D38" s="240">
        <v>31382</v>
      </c>
      <c r="E38" s="307">
        <v>33.299999999999997</v>
      </c>
      <c r="F38" s="308">
        <v>60.5</v>
      </c>
      <c r="G38" s="308">
        <v>90.9</v>
      </c>
      <c r="H38" s="308">
        <v>53.1</v>
      </c>
      <c r="I38" s="308">
        <v>23.5</v>
      </c>
      <c r="J38" s="308">
        <v>73.3</v>
      </c>
      <c r="K38" s="308">
        <f t="shared" si="12"/>
        <v>164.2</v>
      </c>
      <c r="L38" s="22">
        <f t="shared" si="13"/>
        <v>0.55359317904993921</v>
      </c>
    </row>
    <row r="39" spans="1:12" ht="14.4" x14ac:dyDescent="0.3">
      <c r="A39" s="263">
        <f t="shared" si="0"/>
        <v>1986</v>
      </c>
      <c r="B39" s="264" t="str">
        <f t="shared" si="1"/>
        <v>1</v>
      </c>
      <c r="C39" s="306">
        <f t="shared" si="11"/>
        <v>19861</v>
      </c>
      <c r="D39" s="240">
        <v>31472</v>
      </c>
      <c r="E39" s="313">
        <v>42.2</v>
      </c>
      <c r="F39" s="314">
        <v>53.8</v>
      </c>
      <c r="G39" s="314">
        <v>95</v>
      </c>
      <c r="H39" s="314">
        <v>96.6</v>
      </c>
      <c r="I39" s="314">
        <v>49.4</v>
      </c>
      <c r="J39" s="314">
        <v>153.69999999999999</v>
      </c>
      <c r="K39" s="314">
        <f t="shared" si="12"/>
        <v>248.7</v>
      </c>
      <c r="L39" s="223">
        <f t="shared" si="13"/>
        <v>0.38198632891033374</v>
      </c>
    </row>
    <row r="40" spans="1:12" ht="14.4" x14ac:dyDescent="0.3">
      <c r="A40" s="263">
        <f t="shared" si="0"/>
        <v>1986</v>
      </c>
      <c r="B40" s="264" t="str">
        <f t="shared" si="1"/>
        <v>2</v>
      </c>
      <c r="C40" s="306">
        <f t="shared" si="11"/>
        <v>19862</v>
      </c>
      <c r="D40" s="240">
        <v>31564</v>
      </c>
      <c r="E40" s="307">
        <v>21.4</v>
      </c>
      <c r="F40" s="308">
        <v>41.2</v>
      </c>
      <c r="G40" s="308">
        <v>64.099999999999994</v>
      </c>
      <c r="H40" s="308">
        <v>44.2</v>
      </c>
      <c r="I40" s="308">
        <v>23</v>
      </c>
      <c r="J40" s="308">
        <v>66.599999999999994</v>
      </c>
      <c r="K40" s="308">
        <f t="shared" si="12"/>
        <v>130.69999999999999</v>
      </c>
      <c r="L40" s="22">
        <f t="shared" si="13"/>
        <v>0.49043611323641928</v>
      </c>
    </row>
    <row r="41" spans="1:12" ht="14.4" x14ac:dyDescent="0.3">
      <c r="A41" s="263">
        <f t="shared" si="0"/>
        <v>1986</v>
      </c>
      <c r="B41" s="264" t="str">
        <f t="shared" si="1"/>
        <v>3</v>
      </c>
      <c r="C41" s="306">
        <f t="shared" si="11"/>
        <v>19863</v>
      </c>
      <c r="D41" s="240">
        <v>31656</v>
      </c>
      <c r="E41" s="313">
        <v>11.5</v>
      </c>
      <c r="F41" s="314">
        <v>25.1</v>
      </c>
      <c r="G41" s="314">
        <v>37.4</v>
      </c>
      <c r="H41" s="314">
        <v>26.3</v>
      </c>
      <c r="I41" s="314">
        <v>17.100000000000001</v>
      </c>
      <c r="J41" s="314">
        <v>42.9</v>
      </c>
      <c r="K41" s="314">
        <f t="shared" si="12"/>
        <v>80.3</v>
      </c>
      <c r="L41" s="223">
        <f t="shared" si="13"/>
        <v>0.46575342465753422</v>
      </c>
    </row>
    <row r="42" spans="1:12" ht="14.4" x14ac:dyDescent="0.3">
      <c r="A42" s="263">
        <f t="shared" si="0"/>
        <v>1986</v>
      </c>
      <c r="B42" s="264" t="str">
        <f t="shared" si="1"/>
        <v>4</v>
      </c>
      <c r="C42" s="306">
        <f t="shared" si="11"/>
        <v>19864</v>
      </c>
      <c r="D42" s="240">
        <v>31747</v>
      </c>
      <c r="E42" s="307">
        <v>12.3</v>
      </c>
      <c r="F42" s="308">
        <v>25.4</v>
      </c>
      <c r="G42" s="308">
        <v>36.4</v>
      </c>
      <c r="H42" s="308">
        <v>16.7</v>
      </c>
      <c r="I42" s="308">
        <v>14.5</v>
      </c>
      <c r="J42" s="308">
        <v>30.5</v>
      </c>
      <c r="K42" s="308">
        <f t="shared" si="12"/>
        <v>66.900000000000006</v>
      </c>
      <c r="L42" s="22">
        <f t="shared" si="13"/>
        <v>0.54409566517189834</v>
      </c>
    </row>
    <row r="43" spans="1:12" ht="14.4" x14ac:dyDescent="0.3">
      <c r="A43" s="263">
        <f t="shared" si="0"/>
        <v>1987</v>
      </c>
      <c r="B43" s="264" t="str">
        <f t="shared" si="1"/>
        <v>1</v>
      </c>
      <c r="C43" s="306">
        <f t="shared" si="11"/>
        <v>19871</v>
      </c>
      <c r="D43" s="240">
        <v>31837</v>
      </c>
      <c r="E43" s="313">
        <v>18.3</v>
      </c>
      <c r="F43" s="314">
        <v>21.4</v>
      </c>
      <c r="G43" s="314">
        <v>39.299999999999997</v>
      </c>
      <c r="H43" s="314">
        <v>15.3</v>
      </c>
      <c r="I43" s="314">
        <v>11.9</v>
      </c>
      <c r="J43" s="314">
        <v>28.9</v>
      </c>
      <c r="K43" s="314">
        <f t="shared" si="12"/>
        <v>68.199999999999989</v>
      </c>
      <c r="L43" s="223">
        <f t="shared" si="13"/>
        <v>0.57624633431085048</v>
      </c>
    </row>
    <row r="44" spans="1:12" ht="14.4" x14ac:dyDescent="0.3">
      <c r="A44" s="263">
        <f t="shared" si="0"/>
        <v>1987</v>
      </c>
      <c r="B44" s="264" t="str">
        <f t="shared" si="1"/>
        <v>2</v>
      </c>
      <c r="C44" s="306">
        <f t="shared" si="11"/>
        <v>19872</v>
      </c>
      <c r="D44" s="240">
        <v>31929</v>
      </c>
      <c r="E44" s="307">
        <v>29.2</v>
      </c>
      <c r="F44" s="308">
        <v>27.9</v>
      </c>
      <c r="G44" s="308">
        <v>58</v>
      </c>
      <c r="H44" s="308">
        <v>19.399999999999999</v>
      </c>
      <c r="I44" s="308">
        <v>13.1</v>
      </c>
      <c r="J44" s="308">
        <v>32.1</v>
      </c>
      <c r="K44" s="308">
        <f t="shared" si="12"/>
        <v>90.1</v>
      </c>
      <c r="L44" s="22">
        <f t="shared" si="13"/>
        <v>0.64372918978912319</v>
      </c>
    </row>
    <row r="45" spans="1:12" ht="14.4" x14ac:dyDescent="0.3">
      <c r="A45" s="263">
        <f t="shared" si="0"/>
        <v>1987</v>
      </c>
      <c r="B45" s="264" t="str">
        <f t="shared" si="1"/>
        <v>3</v>
      </c>
      <c r="C45" s="306">
        <f t="shared" si="11"/>
        <v>19873</v>
      </c>
      <c r="D45" s="240">
        <v>32021</v>
      </c>
      <c r="E45" s="313">
        <v>33.1</v>
      </c>
      <c r="F45" s="314">
        <v>30.4</v>
      </c>
      <c r="G45" s="314">
        <v>63.8</v>
      </c>
      <c r="H45" s="314">
        <v>28</v>
      </c>
      <c r="I45" s="314">
        <v>16.8</v>
      </c>
      <c r="J45" s="314">
        <v>43.8</v>
      </c>
      <c r="K45" s="314">
        <f t="shared" si="12"/>
        <v>107.6</v>
      </c>
      <c r="L45" s="223">
        <f t="shared" si="13"/>
        <v>0.59293680297397766</v>
      </c>
    </row>
    <row r="46" spans="1:12" ht="14.4" x14ac:dyDescent="0.3">
      <c r="A46" s="263">
        <f t="shared" si="0"/>
        <v>1987</v>
      </c>
      <c r="B46" s="264" t="str">
        <f t="shared" si="1"/>
        <v>4</v>
      </c>
      <c r="C46" s="306">
        <f t="shared" si="11"/>
        <v>19874</v>
      </c>
      <c r="D46" s="240">
        <v>32112</v>
      </c>
      <c r="E46" s="307">
        <v>43.8</v>
      </c>
      <c r="F46" s="308">
        <v>32.700000000000003</v>
      </c>
      <c r="G46" s="308">
        <v>75.7</v>
      </c>
      <c r="H46" s="308">
        <v>34.799999999999997</v>
      </c>
      <c r="I46" s="308">
        <v>19.7</v>
      </c>
      <c r="J46" s="308">
        <v>54.1</v>
      </c>
      <c r="K46" s="308">
        <f t="shared" si="12"/>
        <v>129.80000000000001</v>
      </c>
      <c r="L46" s="22">
        <f t="shared" si="13"/>
        <v>0.58320493066255774</v>
      </c>
    </row>
    <row r="47" spans="1:12" ht="14.4" x14ac:dyDescent="0.3">
      <c r="A47" s="263">
        <f t="shared" si="0"/>
        <v>1988</v>
      </c>
      <c r="B47" s="264" t="str">
        <f t="shared" si="1"/>
        <v>1</v>
      </c>
      <c r="C47" s="306">
        <f t="shared" si="11"/>
        <v>19881</v>
      </c>
      <c r="D47" s="240">
        <v>32203</v>
      </c>
      <c r="E47" s="313">
        <v>40</v>
      </c>
      <c r="F47" s="314">
        <v>30.5</v>
      </c>
      <c r="G47" s="314">
        <v>70.2</v>
      </c>
      <c r="H47" s="314">
        <v>21.5</v>
      </c>
      <c r="I47" s="314">
        <v>23.6</v>
      </c>
      <c r="J47" s="314">
        <v>48.5</v>
      </c>
      <c r="K47" s="314">
        <f t="shared" si="12"/>
        <v>118.7</v>
      </c>
      <c r="L47" s="223">
        <f t="shared" si="13"/>
        <v>0.59140690817186181</v>
      </c>
    </row>
    <row r="48" spans="1:12" ht="14.4" x14ac:dyDescent="0.3">
      <c r="A48" s="263">
        <f t="shared" si="0"/>
        <v>1988</v>
      </c>
      <c r="B48" s="264" t="str">
        <f t="shared" si="1"/>
        <v>2</v>
      </c>
      <c r="C48" s="306">
        <f t="shared" si="11"/>
        <v>19882</v>
      </c>
      <c r="D48" s="240">
        <v>32295</v>
      </c>
      <c r="E48" s="307">
        <v>37.4</v>
      </c>
      <c r="F48" s="308">
        <v>23.8</v>
      </c>
      <c r="G48" s="308">
        <v>61.6</v>
      </c>
      <c r="H48" s="308">
        <v>50</v>
      </c>
      <c r="I48" s="308">
        <v>25.5</v>
      </c>
      <c r="J48" s="308">
        <v>75.5</v>
      </c>
      <c r="K48" s="308">
        <f t="shared" si="12"/>
        <v>137.1</v>
      </c>
      <c r="L48" s="22">
        <f t="shared" si="13"/>
        <v>0.44930707512764406</v>
      </c>
    </row>
    <row r="49" spans="1:12" ht="14.4" x14ac:dyDescent="0.3">
      <c r="A49" s="263">
        <f t="shared" si="0"/>
        <v>1988</v>
      </c>
      <c r="B49" s="264" t="str">
        <f t="shared" si="1"/>
        <v>3</v>
      </c>
      <c r="C49" s="306">
        <f t="shared" si="11"/>
        <v>19883</v>
      </c>
      <c r="D49" s="240">
        <v>32387</v>
      </c>
      <c r="E49" s="313">
        <v>43.8</v>
      </c>
      <c r="F49" s="314">
        <v>23.9</v>
      </c>
      <c r="G49" s="314">
        <v>67.3</v>
      </c>
      <c r="H49" s="314">
        <v>59.3</v>
      </c>
      <c r="I49" s="314">
        <v>28.8</v>
      </c>
      <c r="J49" s="314">
        <v>85.9</v>
      </c>
      <c r="K49" s="314">
        <f t="shared" si="12"/>
        <v>153.19999999999999</v>
      </c>
      <c r="L49" s="223">
        <f t="shared" si="13"/>
        <v>0.43929503916449086</v>
      </c>
    </row>
    <row r="50" spans="1:12" ht="14.4" x14ac:dyDescent="0.3">
      <c r="A50" s="263">
        <f t="shared" si="0"/>
        <v>1988</v>
      </c>
      <c r="B50" s="264" t="str">
        <f t="shared" si="1"/>
        <v>4</v>
      </c>
      <c r="C50" s="306">
        <f t="shared" si="11"/>
        <v>19884</v>
      </c>
      <c r="D50" s="240">
        <v>32478</v>
      </c>
      <c r="E50" s="307">
        <v>39.4</v>
      </c>
      <c r="F50" s="308">
        <v>27.1</v>
      </c>
      <c r="G50" s="308">
        <v>66.2</v>
      </c>
      <c r="H50" s="308">
        <v>80.900000000000006</v>
      </c>
      <c r="I50" s="308">
        <v>27.9</v>
      </c>
      <c r="J50" s="308">
        <v>107.5</v>
      </c>
      <c r="K50" s="308">
        <f t="shared" si="12"/>
        <v>173.7</v>
      </c>
      <c r="L50" s="22">
        <f t="shared" si="13"/>
        <v>0.38111686816350032</v>
      </c>
    </row>
    <row r="51" spans="1:12" ht="14.4" x14ac:dyDescent="0.3">
      <c r="A51" s="263">
        <f t="shared" si="0"/>
        <v>1989</v>
      </c>
      <c r="B51" s="264" t="str">
        <f t="shared" si="1"/>
        <v>1</v>
      </c>
      <c r="C51" s="306">
        <f t="shared" si="11"/>
        <v>19891</v>
      </c>
      <c r="D51" s="240">
        <v>32568</v>
      </c>
      <c r="E51" s="313">
        <v>26.4</v>
      </c>
      <c r="F51" s="314">
        <v>19.8</v>
      </c>
      <c r="G51" s="314">
        <v>46.2</v>
      </c>
      <c r="H51" s="314">
        <v>73.900000000000006</v>
      </c>
      <c r="I51" s="314">
        <v>24.7</v>
      </c>
      <c r="J51" s="314">
        <v>105.5</v>
      </c>
      <c r="K51" s="314">
        <f t="shared" si="12"/>
        <v>151.69999999999999</v>
      </c>
      <c r="L51" s="223">
        <f t="shared" si="13"/>
        <v>0.30454845088991433</v>
      </c>
    </row>
    <row r="52" spans="1:12" ht="14.4" x14ac:dyDescent="0.3">
      <c r="A52" s="263">
        <f t="shared" si="0"/>
        <v>1989</v>
      </c>
      <c r="B52" s="264" t="str">
        <f t="shared" si="1"/>
        <v>2</v>
      </c>
      <c r="C52" s="306">
        <f t="shared" si="11"/>
        <v>19892</v>
      </c>
      <c r="D52" s="240">
        <v>32660</v>
      </c>
      <c r="E52" s="307">
        <v>23.3</v>
      </c>
      <c r="F52" s="308">
        <v>20.3</v>
      </c>
      <c r="G52" s="308">
        <v>44.7</v>
      </c>
      <c r="H52" s="308">
        <v>83.7</v>
      </c>
      <c r="I52" s="308">
        <v>22.6</v>
      </c>
      <c r="J52" s="308">
        <v>107.1</v>
      </c>
      <c r="K52" s="308">
        <f t="shared" si="12"/>
        <v>151.80000000000001</v>
      </c>
      <c r="L52" s="22">
        <f t="shared" si="13"/>
        <v>0.29446640316205536</v>
      </c>
    </row>
    <row r="53" spans="1:12" ht="14.4" x14ac:dyDescent="0.3">
      <c r="A53" s="263">
        <f t="shared" si="0"/>
        <v>1989</v>
      </c>
      <c r="B53" s="264" t="str">
        <f t="shared" si="1"/>
        <v>3</v>
      </c>
      <c r="C53" s="306">
        <f t="shared" si="11"/>
        <v>19893</v>
      </c>
      <c r="D53" s="240">
        <v>32752</v>
      </c>
      <c r="E53" s="313">
        <v>19.100000000000001</v>
      </c>
      <c r="F53" s="314">
        <v>18.3</v>
      </c>
      <c r="G53" s="314">
        <v>36.799999999999997</v>
      </c>
      <c r="H53" s="314">
        <v>75.900000000000006</v>
      </c>
      <c r="I53" s="314">
        <v>23</v>
      </c>
      <c r="J53" s="314">
        <v>97.2</v>
      </c>
      <c r="K53" s="314">
        <f t="shared" si="12"/>
        <v>134</v>
      </c>
      <c r="L53" s="223">
        <f t="shared" si="13"/>
        <v>0.2746268656716418</v>
      </c>
    </row>
    <row r="54" spans="1:12" ht="14.4" x14ac:dyDescent="0.3">
      <c r="A54" s="263">
        <f t="shared" si="0"/>
        <v>1989</v>
      </c>
      <c r="B54" s="264" t="str">
        <f t="shared" si="1"/>
        <v>4</v>
      </c>
      <c r="C54" s="306">
        <f t="shared" si="11"/>
        <v>19894</v>
      </c>
      <c r="D54" s="240">
        <v>32843</v>
      </c>
      <c r="E54" s="307">
        <v>17.600000000000001</v>
      </c>
      <c r="F54" s="308">
        <v>17</v>
      </c>
      <c r="G54" s="308">
        <v>34.4</v>
      </c>
      <c r="H54" s="308">
        <v>79.2</v>
      </c>
      <c r="I54" s="308">
        <v>20.6</v>
      </c>
      <c r="J54" s="308">
        <v>95.1</v>
      </c>
      <c r="K54" s="308">
        <f t="shared" si="12"/>
        <v>129.5</v>
      </c>
      <c r="L54" s="22">
        <f t="shared" si="13"/>
        <v>0.26563706563706563</v>
      </c>
    </row>
    <row r="55" spans="1:12" ht="14.4" x14ac:dyDescent="0.3">
      <c r="A55" s="263">
        <f t="shared" si="0"/>
        <v>1990</v>
      </c>
      <c r="B55" s="264" t="str">
        <f t="shared" si="1"/>
        <v>1</v>
      </c>
      <c r="C55" s="306">
        <f t="shared" si="11"/>
        <v>19901</v>
      </c>
      <c r="D55" s="240">
        <v>32933</v>
      </c>
      <c r="E55" s="313">
        <v>19.7</v>
      </c>
      <c r="F55" s="314">
        <v>20.6</v>
      </c>
      <c r="G55" s="314">
        <v>40</v>
      </c>
      <c r="H55" s="314">
        <v>114.8</v>
      </c>
      <c r="I55" s="314">
        <v>26.4</v>
      </c>
      <c r="J55" s="314">
        <v>153.5</v>
      </c>
      <c r="K55" s="314">
        <f t="shared" si="12"/>
        <v>193.5</v>
      </c>
      <c r="L55" s="223">
        <f t="shared" si="13"/>
        <v>0.20671834625322996</v>
      </c>
    </row>
    <row r="56" spans="1:12" ht="14.4" x14ac:dyDescent="0.3">
      <c r="A56" s="263">
        <f t="shared" si="0"/>
        <v>1990</v>
      </c>
      <c r="B56" s="264" t="str">
        <f t="shared" si="1"/>
        <v>2</v>
      </c>
      <c r="C56" s="306">
        <f t="shared" si="11"/>
        <v>19902</v>
      </c>
      <c r="D56" s="240">
        <v>33025</v>
      </c>
      <c r="E56" s="307">
        <v>18.100000000000001</v>
      </c>
      <c r="F56" s="308">
        <v>14.6</v>
      </c>
      <c r="G56" s="308">
        <v>33.4</v>
      </c>
      <c r="H56" s="308">
        <v>84.2</v>
      </c>
      <c r="I56" s="308">
        <v>20</v>
      </c>
      <c r="J56" s="308">
        <v>101.3</v>
      </c>
      <c r="K56" s="308">
        <f t="shared" si="12"/>
        <v>134.69999999999999</v>
      </c>
      <c r="L56" s="22">
        <f t="shared" si="13"/>
        <v>0.24795842613214553</v>
      </c>
    </row>
    <row r="57" spans="1:12" ht="14.4" x14ac:dyDescent="0.3">
      <c r="A57" s="263">
        <f t="shared" si="0"/>
        <v>1990</v>
      </c>
      <c r="B57" s="264" t="str">
        <f t="shared" si="1"/>
        <v>3</v>
      </c>
      <c r="C57" s="306">
        <f t="shared" si="11"/>
        <v>19903</v>
      </c>
      <c r="D57" s="240">
        <v>33117</v>
      </c>
      <c r="E57" s="313">
        <v>24.5</v>
      </c>
      <c r="F57" s="314">
        <v>23.5</v>
      </c>
      <c r="G57" s="314">
        <v>46.9</v>
      </c>
      <c r="H57" s="314">
        <v>82.5</v>
      </c>
      <c r="I57" s="314">
        <v>36.9</v>
      </c>
      <c r="J57" s="314">
        <v>120.2</v>
      </c>
      <c r="K57" s="314">
        <f t="shared" si="12"/>
        <v>167.1</v>
      </c>
      <c r="L57" s="223">
        <f t="shared" si="13"/>
        <v>0.28067025733093953</v>
      </c>
    </row>
    <row r="58" spans="1:12" ht="14.4" x14ac:dyDescent="0.3">
      <c r="A58" s="263">
        <f t="shared" si="0"/>
        <v>1990</v>
      </c>
      <c r="B58" s="264" t="str">
        <f t="shared" si="1"/>
        <v>4</v>
      </c>
      <c r="C58" s="306">
        <f t="shared" si="11"/>
        <v>19904</v>
      </c>
      <c r="D58" s="240">
        <v>33208</v>
      </c>
      <c r="E58" s="307">
        <v>30.2</v>
      </c>
      <c r="F58" s="308">
        <v>17.5</v>
      </c>
      <c r="G58" s="308">
        <v>48.1</v>
      </c>
      <c r="H58" s="308">
        <v>60.4</v>
      </c>
      <c r="I58" s="308">
        <v>25.1</v>
      </c>
      <c r="J58" s="308">
        <v>81.5</v>
      </c>
      <c r="K58" s="308">
        <f t="shared" si="12"/>
        <v>129.6</v>
      </c>
      <c r="L58" s="22">
        <f t="shared" si="13"/>
        <v>0.37114197530864201</v>
      </c>
    </row>
    <row r="59" spans="1:12" ht="14.4" x14ac:dyDescent="0.3">
      <c r="A59" s="263">
        <f t="shared" si="0"/>
        <v>1991</v>
      </c>
      <c r="B59" s="264" t="str">
        <f t="shared" si="1"/>
        <v>1</v>
      </c>
      <c r="C59" s="306">
        <f t="shared" si="11"/>
        <v>19911</v>
      </c>
      <c r="D59" s="240">
        <v>33298</v>
      </c>
      <c r="E59" s="313">
        <v>45.6</v>
      </c>
      <c r="F59" s="314">
        <v>22.1</v>
      </c>
      <c r="G59" s="314">
        <v>67.900000000000006</v>
      </c>
      <c r="H59" s="314">
        <v>59.2</v>
      </c>
      <c r="I59" s="314">
        <v>16</v>
      </c>
      <c r="J59" s="314">
        <v>80.3</v>
      </c>
      <c r="K59" s="314">
        <f t="shared" si="12"/>
        <v>148.19999999999999</v>
      </c>
      <c r="L59" s="223">
        <f t="shared" si="13"/>
        <v>0.45816464237516874</v>
      </c>
    </row>
    <row r="60" spans="1:12" ht="14.4" x14ac:dyDescent="0.3">
      <c r="A60" s="263">
        <f t="shared" si="0"/>
        <v>1991</v>
      </c>
      <c r="B60" s="264" t="str">
        <f t="shared" si="1"/>
        <v>2</v>
      </c>
      <c r="C60" s="306">
        <f t="shared" si="11"/>
        <v>19912</v>
      </c>
      <c r="D60" s="240">
        <v>33390</v>
      </c>
      <c r="E60" s="307">
        <v>31.5</v>
      </c>
      <c r="F60" s="308">
        <v>25.6</v>
      </c>
      <c r="G60" s="308">
        <v>58.5</v>
      </c>
      <c r="H60" s="308">
        <v>55.4</v>
      </c>
      <c r="I60" s="308">
        <v>31.3</v>
      </c>
      <c r="J60" s="308">
        <v>84.2</v>
      </c>
      <c r="K60" s="308">
        <f t="shared" si="12"/>
        <v>142.69999999999999</v>
      </c>
      <c r="L60" s="22">
        <f t="shared" si="13"/>
        <v>0.40995094604064475</v>
      </c>
    </row>
    <row r="61" spans="1:12" ht="14.4" x14ac:dyDescent="0.3">
      <c r="A61" s="263">
        <f t="shared" si="0"/>
        <v>1991</v>
      </c>
      <c r="B61" s="264" t="str">
        <f t="shared" si="1"/>
        <v>3</v>
      </c>
      <c r="C61" s="306">
        <f t="shared" si="11"/>
        <v>19913</v>
      </c>
      <c r="D61" s="240">
        <v>33482</v>
      </c>
      <c r="E61" s="313">
        <v>16.5</v>
      </c>
      <c r="F61" s="314">
        <v>18</v>
      </c>
      <c r="G61" s="314">
        <v>33.700000000000003</v>
      </c>
      <c r="H61" s="314">
        <v>30.2</v>
      </c>
      <c r="I61" s="314">
        <v>35.6</v>
      </c>
      <c r="J61" s="314">
        <v>64.8</v>
      </c>
      <c r="K61" s="314">
        <f t="shared" si="12"/>
        <v>98.5</v>
      </c>
      <c r="L61" s="223">
        <f t="shared" si="13"/>
        <v>0.34213197969543152</v>
      </c>
    </row>
    <row r="62" spans="1:12" ht="14.4" x14ac:dyDescent="0.3">
      <c r="A62" s="263">
        <f t="shared" si="0"/>
        <v>1991</v>
      </c>
      <c r="B62" s="264" t="str">
        <f t="shared" si="1"/>
        <v>4</v>
      </c>
      <c r="C62" s="306">
        <f t="shared" si="11"/>
        <v>19914</v>
      </c>
      <c r="D62" s="240">
        <v>33573</v>
      </c>
      <c r="E62" s="307">
        <v>18.399999999999999</v>
      </c>
      <c r="F62" s="308">
        <v>22.3</v>
      </c>
      <c r="G62" s="308">
        <v>40.4</v>
      </c>
      <c r="H62" s="308">
        <v>61.2</v>
      </c>
      <c r="I62" s="308">
        <v>52.8</v>
      </c>
      <c r="J62" s="308">
        <v>112.4</v>
      </c>
      <c r="K62" s="308">
        <f t="shared" si="12"/>
        <v>152.80000000000001</v>
      </c>
      <c r="L62" s="22">
        <f t="shared" si="13"/>
        <v>0.26439790575916228</v>
      </c>
    </row>
    <row r="63" spans="1:12" ht="14.4" x14ac:dyDescent="0.3">
      <c r="A63" s="263">
        <f t="shared" si="0"/>
        <v>1992</v>
      </c>
      <c r="B63" s="264" t="str">
        <f t="shared" si="1"/>
        <v>1</v>
      </c>
      <c r="C63" s="306">
        <f t="shared" si="11"/>
        <v>19921</v>
      </c>
      <c r="D63" s="240">
        <v>33664</v>
      </c>
      <c r="E63" s="313">
        <v>13.8</v>
      </c>
      <c r="F63" s="314">
        <v>19.899999999999999</v>
      </c>
      <c r="G63" s="314">
        <v>33</v>
      </c>
      <c r="H63" s="314">
        <v>17</v>
      </c>
      <c r="I63" s="314">
        <v>56.2</v>
      </c>
      <c r="J63" s="314">
        <v>79.8</v>
      </c>
      <c r="K63" s="314">
        <f t="shared" si="12"/>
        <v>112.8</v>
      </c>
      <c r="L63" s="223">
        <f t="shared" si="13"/>
        <v>0.29255319148936171</v>
      </c>
    </row>
    <row r="64" spans="1:12" ht="14.4" x14ac:dyDescent="0.3">
      <c r="A64" s="263">
        <f t="shared" si="0"/>
        <v>1992</v>
      </c>
      <c r="B64" s="264" t="str">
        <f t="shared" si="1"/>
        <v>2</v>
      </c>
      <c r="C64" s="306">
        <f t="shared" si="11"/>
        <v>19922</v>
      </c>
      <c r="D64" s="240">
        <v>33756</v>
      </c>
      <c r="E64" s="307">
        <v>10.3</v>
      </c>
      <c r="F64" s="308">
        <v>14.9</v>
      </c>
      <c r="G64" s="308">
        <v>26.7</v>
      </c>
      <c r="H64" s="308">
        <v>30.4</v>
      </c>
      <c r="I64" s="308">
        <v>50</v>
      </c>
      <c r="J64" s="308">
        <v>77.8</v>
      </c>
      <c r="K64" s="308">
        <f t="shared" si="12"/>
        <v>104.5</v>
      </c>
      <c r="L64" s="22">
        <f t="shared" si="13"/>
        <v>0.25550239234449762</v>
      </c>
    </row>
    <row r="65" spans="1:12" ht="14.4" x14ac:dyDescent="0.3">
      <c r="A65" s="263">
        <f t="shared" si="0"/>
        <v>1992</v>
      </c>
      <c r="B65" s="264" t="str">
        <f t="shared" si="1"/>
        <v>3</v>
      </c>
      <c r="C65" s="306">
        <f t="shared" si="11"/>
        <v>19923</v>
      </c>
      <c r="D65" s="240">
        <v>33848</v>
      </c>
      <c r="E65" s="313">
        <v>15.8</v>
      </c>
      <c r="F65" s="314">
        <v>17</v>
      </c>
      <c r="G65" s="314">
        <v>31.9</v>
      </c>
      <c r="H65" s="314">
        <v>51.6</v>
      </c>
      <c r="I65" s="314">
        <v>53.8</v>
      </c>
      <c r="J65" s="314">
        <v>104.3</v>
      </c>
      <c r="K65" s="314">
        <f t="shared" si="12"/>
        <v>136.19999999999999</v>
      </c>
      <c r="L65" s="223">
        <f t="shared" si="13"/>
        <v>0.23421439060205582</v>
      </c>
    </row>
    <row r="66" spans="1:12" ht="14.4" x14ac:dyDescent="0.3">
      <c r="A66" s="263">
        <f t="shared" si="0"/>
        <v>1992</v>
      </c>
      <c r="B66" s="264" t="str">
        <f t="shared" si="1"/>
        <v>4</v>
      </c>
      <c r="C66" s="306">
        <f t="shared" si="11"/>
        <v>19924</v>
      </c>
      <c r="D66" s="240">
        <v>33939</v>
      </c>
      <c r="E66" s="307">
        <v>16.600000000000001</v>
      </c>
      <c r="F66" s="308">
        <v>13.3</v>
      </c>
      <c r="G66" s="308">
        <v>29.7</v>
      </c>
      <c r="H66" s="308">
        <v>68</v>
      </c>
      <c r="I66" s="308">
        <v>66.3</v>
      </c>
      <c r="J66" s="308">
        <v>134.4</v>
      </c>
      <c r="K66" s="308">
        <f t="shared" si="12"/>
        <v>164.1</v>
      </c>
      <c r="L66" s="22">
        <f t="shared" si="13"/>
        <v>0.18098720292504569</v>
      </c>
    </row>
    <row r="67" spans="1:12" ht="14.4" x14ac:dyDescent="0.3">
      <c r="A67" s="263">
        <f t="shared" si="0"/>
        <v>1993</v>
      </c>
      <c r="B67" s="264" t="str">
        <f t="shared" si="1"/>
        <v>1</v>
      </c>
      <c r="C67" s="306">
        <f t="shared" si="11"/>
        <v>19931</v>
      </c>
      <c r="D67" s="240">
        <v>34029</v>
      </c>
      <c r="E67" s="313">
        <v>15</v>
      </c>
      <c r="F67" s="314">
        <v>10.3</v>
      </c>
      <c r="G67" s="314">
        <v>25.1</v>
      </c>
      <c r="H67" s="314">
        <v>73.2</v>
      </c>
      <c r="I67" s="314">
        <v>53.2</v>
      </c>
      <c r="J67" s="314">
        <v>129.6</v>
      </c>
      <c r="K67" s="314">
        <f t="shared" si="12"/>
        <v>154.69999999999999</v>
      </c>
      <c r="L67" s="223">
        <f t="shared" si="13"/>
        <v>0.1622495151906917</v>
      </c>
    </row>
    <row r="68" spans="1:12" ht="14.4" x14ac:dyDescent="0.3">
      <c r="A68" s="263">
        <f t="shared" si="0"/>
        <v>1993</v>
      </c>
      <c r="B68" s="264" t="str">
        <f t="shared" si="1"/>
        <v>2</v>
      </c>
      <c r="C68" s="306">
        <f t="shared" si="11"/>
        <v>19932</v>
      </c>
      <c r="D68" s="240">
        <v>34121</v>
      </c>
      <c r="E68" s="307">
        <v>14.9</v>
      </c>
      <c r="F68" s="308">
        <v>11.6</v>
      </c>
      <c r="G68" s="308">
        <v>27.3</v>
      </c>
      <c r="H68" s="308">
        <v>96.6</v>
      </c>
      <c r="I68" s="308">
        <v>37</v>
      </c>
      <c r="J68" s="308">
        <v>128.69999999999999</v>
      </c>
      <c r="K68" s="308">
        <f t="shared" si="12"/>
        <v>156</v>
      </c>
      <c r="L68" s="22">
        <f t="shared" si="13"/>
        <v>0.17500000000000002</v>
      </c>
    </row>
    <row r="69" spans="1:12" ht="14.4" x14ac:dyDescent="0.3">
      <c r="A69" s="263">
        <f t="shared" si="0"/>
        <v>1993</v>
      </c>
      <c r="B69" s="264" t="str">
        <f t="shared" si="1"/>
        <v>3</v>
      </c>
      <c r="C69" s="306">
        <f t="shared" si="11"/>
        <v>19933</v>
      </c>
      <c r="D69" s="240">
        <v>34213</v>
      </c>
      <c r="E69" s="313">
        <v>20.3</v>
      </c>
      <c r="F69" s="314">
        <v>11.6</v>
      </c>
      <c r="G69" s="314">
        <v>32.1</v>
      </c>
      <c r="H69" s="314">
        <v>60.2</v>
      </c>
      <c r="I69" s="314">
        <v>40.4</v>
      </c>
      <c r="J69" s="314">
        <v>102.1</v>
      </c>
      <c r="K69" s="314">
        <f t="shared" si="12"/>
        <v>134.19999999999999</v>
      </c>
      <c r="L69" s="223">
        <f t="shared" si="13"/>
        <v>0.23919523099850973</v>
      </c>
    </row>
    <row r="70" spans="1:12" ht="14.4" x14ac:dyDescent="0.3">
      <c r="A70" s="263">
        <f t="shared" si="0"/>
        <v>1993</v>
      </c>
      <c r="B70" s="264" t="str">
        <f t="shared" si="1"/>
        <v>4</v>
      </c>
      <c r="C70" s="306">
        <f t="shared" si="11"/>
        <v>19934</v>
      </c>
      <c r="D70" s="240">
        <v>34304</v>
      </c>
      <c r="E70" s="307">
        <v>14.8</v>
      </c>
      <c r="F70" s="308">
        <v>12.2</v>
      </c>
      <c r="G70" s="308">
        <v>27</v>
      </c>
      <c r="H70" s="308">
        <v>51.1</v>
      </c>
      <c r="I70" s="308">
        <v>36.4</v>
      </c>
      <c r="J70" s="308">
        <v>88.3</v>
      </c>
      <c r="K70" s="308">
        <f t="shared" si="12"/>
        <v>115.3</v>
      </c>
      <c r="L70" s="22">
        <f t="shared" si="13"/>
        <v>0.23417172593235039</v>
      </c>
    </row>
    <row r="71" spans="1:12" ht="14.4" x14ac:dyDescent="0.3">
      <c r="A71" s="263">
        <f t="shared" si="0"/>
        <v>1994</v>
      </c>
      <c r="B71" s="264" t="str">
        <f t="shared" si="1"/>
        <v>1</v>
      </c>
      <c r="C71" s="306">
        <f t="shared" si="11"/>
        <v>19941</v>
      </c>
      <c r="D71" s="240">
        <v>34394</v>
      </c>
      <c r="E71" s="313">
        <v>19.899999999999999</v>
      </c>
      <c r="F71" s="314">
        <v>22.8</v>
      </c>
      <c r="G71" s="314">
        <v>42.7</v>
      </c>
      <c r="H71" s="314">
        <v>51.2</v>
      </c>
      <c r="I71" s="314">
        <v>41.4</v>
      </c>
      <c r="J71" s="314">
        <v>94.1</v>
      </c>
      <c r="K71" s="314">
        <f t="shared" si="12"/>
        <v>136.80000000000001</v>
      </c>
      <c r="L71" s="223">
        <f t="shared" si="13"/>
        <v>0.3121345029239766</v>
      </c>
    </row>
    <row r="72" spans="1:12" ht="14.4" x14ac:dyDescent="0.3">
      <c r="A72" s="263">
        <f t="shared" ref="A72:A135" si="17">YEAR(D72)</f>
        <v>1994</v>
      </c>
      <c r="B72" s="264" t="str">
        <f t="shared" ref="B72:B135" si="18">IF(MONTH(D72)&lt;4,"1",IF(MONTH(D72)&lt;7,"2",IF(MONTH(D72)&lt;10,"3","4")))</f>
        <v>2</v>
      </c>
      <c r="C72" s="306">
        <f t="shared" si="11"/>
        <v>19942</v>
      </c>
      <c r="D72" s="240">
        <v>34486</v>
      </c>
      <c r="E72" s="307">
        <v>29.9</v>
      </c>
      <c r="F72" s="308">
        <v>15.3</v>
      </c>
      <c r="G72" s="308">
        <v>45.2</v>
      </c>
      <c r="H72" s="308">
        <v>43</v>
      </c>
      <c r="I72" s="308">
        <v>33.700000000000003</v>
      </c>
      <c r="J72" s="308">
        <v>76.7</v>
      </c>
      <c r="K72" s="308">
        <f t="shared" si="12"/>
        <v>121.9</v>
      </c>
      <c r="L72" s="22">
        <f t="shared" si="13"/>
        <v>0.37079573420836753</v>
      </c>
    </row>
    <row r="73" spans="1:12" ht="14.4" x14ac:dyDescent="0.3">
      <c r="A73" s="263">
        <f t="shared" si="17"/>
        <v>1994</v>
      </c>
      <c r="B73" s="264" t="str">
        <f t="shared" si="18"/>
        <v>3</v>
      </c>
      <c r="C73" s="306">
        <f t="shared" ref="C73:C136" si="19">_xlfn.NUMBERVALUE(CONCATENATE(A73,B73))</f>
        <v>19943</v>
      </c>
      <c r="D73" s="240">
        <v>34578</v>
      </c>
      <c r="E73" s="313">
        <v>22.8</v>
      </c>
      <c r="F73" s="314">
        <v>16.399999999999999</v>
      </c>
      <c r="G73" s="314">
        <v>39.1</v>
      </c>
      <c r="H73" s="314">
        <v>98.8</v>
      </c>
      <c r="I73" s="314">
        <v>38.200000000000003</v>
      </c>
      <c r="J73" s="314">
        <v>137</v>
      </c>
      <c r="K73" s="314">
        <f t="shared" ref="K73:K136" si="20">SUM(J73,G73)</f>
        <v>176.1</v>
      </c>
      <c r="L73" s="223">
        <f t="shared" ref="L73:L136" si="21">G73/K73</f>
        <v>0.22203293583191369</v>
      </c>
    </row>
    <row r="74" spans="1:12" ht="14.4" x14ac:dyDescent="0.3">
      <c r="A74" s="263">
        <f t="shared" si="17"/>
        <v>1994</v>
      </c>
      <c r="B74" s="264" t="str">
        <f t="shared" si="18"/>
        <v>4</v>
      </c>
      <c r="C74" s="306">
        <f t="shared" si="19"/>
        <v>19944</v>
      </c>
      <c r="D74" s="240">
        <v>34669</v>
      </c>
      <c r="E74" s="307">
        <v>15.4</v>
      </c>
      <c r="F74" s="308">
        <v>21.9</v>
      </c>
      <c r="G74" s="308">
        <v>37.299999999999997</v>
      </c>
      <c r="H74" s="308">
        <v>89.5</v>
      </c>
      <c r="I74" s="308">
        <v>31</v>
      </c>
      <c r="J74" s="308">
        <v>120.5</v>
      </c>
      <c r="K74" s="308">
        <f t="shared" si="20"/>
        <v>157.80000000000001</v>
      </c>
      <c r="L74" s="22">
        <f t="shared" si="21"/>
        <v>0.23637515842839033</v>
      </c>
    </row>
    <row r="75" spans="1:12" ht="14.4" x14ac:dyDescent="0.3">
      <c r="A75" s="263">
        <f t="shared" si="17"/>
        <v>1995</v>
      </c>
      <c r="B75" s="264" t="str">
        <f t="shared" si="18"/>
        <v>1</v>
      </c>
      <c r="C75" s="306">
        <f t="shared" si="19"/>
        <v>19951</v>
      </c>
      <c r="D75" s="240">
        <v>34759</v>
      </c>
      <c r="E75" s="313">
        <v>17.2</v>
      </c>
      <c r="F75" s="314">
        <v>20.8</v>
      </c>
      <c r="G75" s="314">
        <v>38</v>
      </c>
      <c r="H75" s="314">
        <v>80</v>
      </c>
      <c r="I75" s="314">
        <v>26.2</v>
      </c>
      <c r="J75" s="314">
        <v>106.2</v>
      </c>
      <c r="K75" s="314">
        <f t="shared" si="20"/>
        <v>144.19999999999999</v>
      </c>
      <c r="L75" s="223">
        <f t="shared" si="21"/>
        <v>0.26352288488210818</v>
      </c>
    </row>
    <row r="76" spans="1:12" ht="14.4" x14ac:dyDescent="0.3">
      <c r="A76" s="263">
        <f t="shared" si="17"/>
        <v>1995</v>
      </c>
      <c r="B76" s="264" t="str">
        <f t="shared" si="18"/>
        <v>2</v>
      </c>
      <c r="C76" s="306">
        <f t="shared" si="19"/>
        <v>19952</v>
      </c>
      <c r="D76" s="240">
        <v>34851</v>
      </c>
      <c r="E76" s="307">
        <v>31.8</v>
      </c>
      <c r="F76" s="308">
        <v>23.2</v>
      </c>
      <c r="G76" s="308">
        <v>55</v>
      </c>
      <c r="H76" s="308">
        <v>96.2</v>
      </c>
      <c r="I76" s="308">
        <v>37.5</v>
      </c>
      <c r="J76" s="308">
        <v>133.69999999999999</v>
      </c>
      <c r="K76" s="308">
        <f t="shared" si="20"/>
        <v>188.7</v>
      </c>
      <c r="L76" s="22">
        <f t="shared" si="21"/>
        <v>0.29146793852676206</v>
      </c>
    </row>
    <row r="77" spans="1:12" ht="14.4" x14ac:dyDescent="0.3">
      <c r="A77" s="263">
        <f t="shared" si="17"/>
        <v>1995</v>
      </c>
      <c r="B77" s="264" t="str">
        <f t="shared" si="18"/>
        <v>3</v>
      </c>
      <c r="C77" s="306">
        <f t="shared" si="19"/>
        <v>19953</v>
      </c>
      <c r="D77" s="240">
        <v>34943</v>
      </c>
      <c r="E77" s="313">
        <v>28.5</v>
      </c>
      <c r="F77" s="314">
        <v>19.5</v>
      </c>
      <c r="G77" s="314">
        <v>47.9</v>
      </c>
      <c r="H77" s="314">
        <v>100.8</v>
      </c>
      <c r="I77" s="314">
        <v>41.5</v>
      </c>
      <c r="J77" s="314">
        <v>142.30000000000001</v>
      </c>
      <c r="K77" s="314">
        <f t="shared" si="20"/>
        <v>190.20000000000002</v>
      </c>
      <c r="L77" s="223">
        <f t="shared" si="21"/>
        <v>0.25184016824395372</v>
      </c>
    </row>
    <row r="78" spans="1:12" ht="14.4" x14ac:dyDescent="0.3">
      <c r="A78" s="263">
        <f t="shared" si="17"/>
        <v>1995</v>
      </c>
      <c r="B78" s="264" t="str">
        <f t="shared" si="18"/>
        <v>4</v>
      </c>
      <c r="C78" s="306">
        <f t="shared" si="19"/>
        <v>19954</v>
      </c>
      <c r="D78" s="240">
        <v>35034</v>
      </c>
      <c r="E78" s="307">
        <v>23.8</v>
      </c>
      <c r="F78" s="308">
        <v>22.2</v>
      </c>
      <c r="G78" s="308">
        <v>46</v>
      </c>
      <c r="H78" s="308">
        <v>88.5</v>
      </c>
      <c r="I78" s="308">
        <v>38.9</v>
      </c>
      <c r="J78" s="308">
        <v>127.4</v>
      </c>
      <c r="K78" s="308">
        <f t="shared" si="20"/>
        <v>173.4</v>
      </c>
      <c r="L78" s="22">
        <f t="shared" si="21"/>
        <v>0.26528258362168394</v>
      </c>
    </row>
    <row r="79" spans="1:12" ht="14.4" x14ac:dyDescent="0.3">
      <c r="A79" s="263">
        <f t="shared" si="17"/>
        <v>1996</v>
      </c>
      <c r="B79" s="264" t="str">
        <f t="shared" si="18"/>
        <v>1</v>
      </c>
      <c r="C79" s="306">
        <f t="shared" si="19"/>
        <v>19961</v>
      </c>
      <c r="D79" s="240">
        <v>35125</v>
      </c>
      <c r="E79" s="313">
        <v>19.600000000000001</v>
      </c>
      <c r="F79" s="314">
        <v>18.100000000000001</v>
      </c>
      <c r="G79" s="314">
        <v>37.700000000000003</v>
      </c>
      <c r="H79" s="314">
        <v>76.7</v>
      </c>
      <c r="I79" s="314">
        <v>49.9</v>
      </c>
      <c r="J79" s="314">
        <v>126.6</v>
      </c>
      <c r="K79" s="314">
        <f t="shared" si="20"/>
        <v>164.3</v>
      </c>
      <c r="L79" s="223">
        <f t="shared" si="21"/>
        <v>0.22945830797321973</v>
      </c>
    </row>
    <row r="80" spans="1:12" ht="14.4" x14ac:dyDescent="0.3">
      <c r="A80" s="263">
        <f t="shared" si="17"/>
        <v>1996</v>
      </c>
      <c r="B80" s="264" t="str">
        <f t="shared" si="18"/>
        <v>2</v>
      </c>
      <c r="C80" s="306">
        <f t="shared" si="19"/>
        <v>19962</v>
      </c>
      <c r="D80" s="240">
        <v>35217</v>
      </c>
      <c r="E80" s="307">
        <v>21.7</v>
      </c>
      <c r="F80" s="308">
        <v>18.8</v>
      </c>
      <c r="G80" s="308">
        <v>40.5</v>
      </c>
      <c r="H80" s="308">
        <v>69.2</v>
      </c>
      <c r="I80" s="308">
        <v>47.4</v>
      </c>
      <c r="J80" s="308">
        <v>116.6</v>
      </c>
      <c r="K80" s="308">
        <f t="shared" si="20"/>
        <v>157.1</v>
      </c>
      <c r="L80" s="22">
        <f t="shared" si="21"/>
        <v>0.25779758115849777</v>
      </c>
    </row>
    <row r="81" spans="1:12" ht="14.4" x14ac:dyDescent="0.3">
      <c r="A81" s="263">
        <f t="shared" si="17"/>
        <v>1996</v>
      </c>
      <c r="B81" s="264" t="str">
        <f t="shared" si="18"/>
        <v>3</v>
      </c>
      <c r="C81" s="306">
        <f t="shared" si="19"/>
        <v>19963</v>
      </c>
      <c r="D81" s="240">
        <v>35309</v>
      </c>
      <c r="E81" s="313">
        <v>38.4</v>
      </c>
      <c r="F81" s="314">
        <v>22.7</v>
      </c>
      <c r="G81" s="314">
        <v>61.1</v>
      </c>
      <c r="H81" s="314">
        <v>111.7</v>
      </c>
      <c r="I81" s="314">
        <v>30.8</v>
      </c>
      <c r="J81" s="314">
        <v>142.4</v>
      </c>
      <c r="K81" s="314">
        <f t="shared" si="20"/>
        <v>203.5</v>
      </c>
      <c r="L81" s="223">
        <f t="shared" si="21"/>
        <v>0.30024570024570024</v>
      </c>
    </row>
    <row r="82" spans="1:12" ht="14.4" x14ac:dyDescent="0.3">
      <c r="A82" s="263">
        <f t="shared" si="17"/>
        <v>1996</v>
      </c>
      <c r="B82" s="264" t="str">
        <f t="shared" si="18"/>
        <v>4</v>
      </c>
      <c r="C82" s="306">
        <f t="shared" si="19"/>
        <v>19964</v>
      </c>
      <c r="D82" s="240">
        <v>35400</v>
      </c>
      <c r="E82" s="307">
        <v>52.2</v>
      </c>
      <c r="F82" s="308">
        <v>15</v>
      </c>
      <c r="G82" s="308">
        <v>67.2</v>
      </c>
      <c r="H82" s="308">
        <v>112.2</v>
      </c>
      <c r="I82" s="308">
        <v>42.7</v>
      </c>
      <c r="J82" s="308">
        <v>155</v>
      </c>
      <c r="K82" s="308">
        <f t="shared" si="20"/>
        <v>222.2</v>
      </c>
      <c r="L82" s="22">
        <f t="shared" si="21"/>
        <v>0.30243024302430244</v>
      </c>
    </row>
    <row r="83" spans="1:12" ht="14.4" x14ac:dyDescent="0.3">
      <c r="A83" s="263">
        <f t="shared" si="17"/>
        <v>1997</v>
      </c>
      <c r="B83" s="264" t="str">
        <f t="shared" si="18"/>
        <v>1</v>
      </c>
      <c r="C83" s="306">
        <f t="shared" si="19"/>
        <v>19971</v>
      </c>
      <c r="D83" s="240">
        <v>35490</v>
      </c>
      <c r="E83" s="313">
        <v>29.8</v>
      </c>
      <c r="F83" s="314">
        <v>9.8000000000000007</v>
      </c>
      <c r="G83" s="314">
        <v>39.5</v>
      </c>
      <c r="H83" s="314">
        <v>96.7</v>
      </c>
      <c r="I83" s="314">
        <v>47.1</v>
      </c>
      <c r="J83" s="314">
        <v>143.80000000000001</v>
      </c>
      <c r="K83" s="314">
        <f t="shared" si="20"/>
        <v>183.3</v>
      </c>
      <c r="L83" s="223">
        <f t="shared" si="21"/>
        <v>0.215493726132024</v>
      </c>
    </row>
    <row r="84" spans="1:12" ht="14.4" x14ac:dyDescent="0.3">
      <c r="A84" s="263">
        <f t="shared" si="17"/>
        <v>1997</v>
      </c>
      <c r="B84" s="264" t="str">
        <f t="shared" si="18"/>
        <v>2</v>
      </c>
      <c r="C84" s="306">
        <f t="shared" si="19"/>
        <v>19972</v>
      </c>
      <c r="D84" s="240">
        <v>35582</v>
      </c>
      <c r="E84" s="307">
        <v>53.9</v>
      </c>
      <c r="F84" s="308">
        <v>23.7</v>
      </c>
      <c r="G84" s="308">
        <v>77.599999999999994</v>
      </c>
      <c r="H84" s="308">
        <v>68.400000000000006</v>
      </c>
      <c r="I84" s="308">
        <v>48.8</v>
      </c>
      <c r="J84" s="308">
        <v>117.2</v>
      </c>
      <c r="K84" s="308">
        <f t="shared" si="20"/>
        <v>194.8</v>
      </c>
      <c r="L84" s="22">
        <f t="shared" si="21"/>
        <v>0.3983572895277207</v>
      </c>
    </row>
    <row r="85" spans="1:12" ht="14.4" x14ac:dyDescent="0.3">
      <c r="A85" s="263">
        <f t="shared" si="17"/>
        <v>1997</v>
      </c>
      <c r="B85" s="264" t="str">
        <f t="shared" si="18"/>
        <v>3</v>
      </c>
      <c r="C85" s="306">
        <f t="shared" si="19"/>
        <v>19973</v>
      </c>
      <c r="D85" s="240">
        <v>35674</v>
      </c>
      <c r="E85" s="313">
        <v>39.6</v>
      </c>
      <c r="F85" s="314">
        <v>15.3</v>
      </c>
      <c r="G85" s="314">
        <v>54.9</v>
      </c>
      <c r="H85" s="314">
        <v>43.3</v>
      </c>
      <c r="I85" s="314">
        <v>27.7</v>
      </c>
      <c r="J85" s="314">
        <v>71</v>
      </c>
      <c r="K85" s="314">
        <f t="shared" si="20"/>
        <v>125.9</v>
      </c>
      <c r="L85" s="223">
        <f t="shared" si="21"/>
        <v>0.43606036536934073</v>
      </c>
    </row>
    <row r="86" spans="1:12" ht="14.4" x14ac:dyDescent="0.3">
      <c r="A86" s="263">
        <f t="shared" si="17"/>
        <v>1997</v>
      </c>
      <c r="B86" s="264" t="str">
        <f t="shared" si="18"/>
        <v>4</v>
      </c>
      <c r="C86" s="306">
        <f t="shared" si="19"/>
        <v>19974</v>
      </c>
      <c r="D86" s="240">
        <v>35765</v>
      </c>
      <c r="E86" s="307">
        <v>37.799999999999997</v>
      </c>
      <c r="F86" s="308">
        <v>14.8</v>
      </c>
      <c r="G86" s="308">
        <v>52.5</v>
      </c>
      <c r="H86" s="308">
        <v>82.2</v>
      </c>
      <c r="I86" s="308">
        <v>67.3</v>
      </c>
      <c r="J86" s="308">
        <v>149.5</v>
      </c>
      <c r="K86" s="308">
        <f t="shared" si="20"/>
        <v>202</v>
      </c>
      <c r="L86" s="22">
        <f t="shared" si="21"/>
        <v>0.25990099009900991</v>
      </c>
    </row>
    <row r="87" spans="1:12" ht="14.4" x14ac:dyDescent="0.3">
      <c r="A87" s="263">
        <f t="shared" si="17"/>
        <v>1998</v>
      </c>
      <c r="B87" s="264" t="str">
        <f t="shared" si="18"/>
        <v>1</v>
      </c>
      <c r="C87" s="306">
        <f t="shared" si="19"/>
        <v>19981</v>
      </c>
      <c r="D87" s="240">
        <v>35855</v>
      </c>
      <c r="E87" s="313">
        <v>48</v>
      </c>
      <c r="F87" s="314">
        <v>12.8</v>
      </c>
      <c r="G87" s="314">
        <v>60.9</v>
      </c>
      <c r="H87" s="314">
        <v>136.6</v>
      </c>
      <c r="I87" s="314">
        <v>78.599999999999994</v>
      </c>
      <c r="J87" s="314">
        <v>215.1</v>
      </c>
      <c r="K87" s="314">
        <f t="shared" si="20"/>
        <v>276</v>
      </c>
      <c r="L87" s="223">
        <f t="shared" si="21"/>
        <v>0.22065217391304348</v>
      </c>
    </row>
    <row r="88" spans="1:12" ht="14.4" x14ac:dyDescent="0.3">
      <c r="A88" s="263">
        <f t="shared" si="17"/>
        <v>1998</v>
      </c>
      <c r="B88" s="264" t="str">
        <f t="shared" si="18"/>
        <v>2</v>
      </c>
      <c r="C88" s="306">
        <f t="shared" si="19"/>
        <v>19982</v>
      </c>
      <c r="D88" s="240">
        <v>35947</v>
      </c>
      <c r="E88" s="307">
        <v>51.3</v>
      </c>
      <c r="F88" s="308">
        <v>14.7</v>
      </c>
      <c r="G88" s="308">
        <v>66</v>
      </c>
      <c r="H88" s="308">
        <v>196</v>
      </c>
      <c r="I88" s="308">
        <v>53.5</v>
      </c>
      <c r="J88" s="308">
        <v>249.5</v>
      </c>
      <c r="K88" s="308">
        <f t="shared" si="20"/>
        <v>315.5</v>
      </c>
      <c r="L88" s="22">
        <f t="shared" si="21"/>
        <v>0.2091917591125198</v>
      </c>
    </row>
    <row r="89" spans="1:12" ht="14.4" x14ac:dyDescent="0.3">
      <c r="A89" s="263">
        <f t="shared" si="17"/>
        <v>1998</v>
      </c>
      <c r="B89" s="264" t="str">
        <f t="shared" si="18"/>
        <v>3</v>
      </c>
      <c r="C89" s="306">
        <f t="shared" si="19"/>
        <v>19983</v>
      </c>
      <c r="D89" s="240">
        <v>36039</v>
      </c>
      <c r="E89" s="313">
        <v>35.9</v>
      </c>
      <c r="F89" s="314">
        <v>22.4</v>
      </c>
      <c r="G89" s="314">
        <v>58.3</v>
      </c>
      <c r="H89" s="314">
        <v>71.7</v>
      </c>
      <c r="I89" s="314">
        <v>59.9</v>
      </c>
      <c r="J89" s="314">
        <v>131.6</v>
      </c>
      <c r="K89" s="314">
        <f t="shared" si="20"/>
        <v>189.89999999999998</v>
      </c>
      <c r="L89" s="223">
        <f t="shared" si="21"/>
        <v>0.30700368615060558</v>
      </c>
    </row>
    <row r="90" spans="1:12" ht="14.4" x14ac:dyDescent="0.3">
      <c r="A90" s="263">
        <f t="shared" si="17"/>
        <v>1998</v>
      </c>
      <c r="B90" s="264" t="str">
        <f t="shared" si="18"/>
        <v>4</v>
      </c>
      <c r="C90" s="306">
        <f t="shared" si="19"/>
        <v>19984</v>
      </c>
      <c r="D90" s="240">
        <v>36130</v>
      </c>
      <c r="E90" s="307">
        <v>34.4</v>
      </c>
      <c r="F90" s="308">
        <v>16.2</v>
      </c>
      <c r="G90" s="308">
        <v>50.6</v>
      </c>
      <c r="H90" s="308">
        <v>124.7</v>
      </c>
      <c r="I90" s="308">
        <v>60.7</v>
      </c>
      <c r="J90" s="308">
        <v>185.4</v>
      </c>
      <c r="K90" s="308">
        <f t="shared" si="20"/>
        <v>236</v>
      </c>
      <c r="L90" s="22">
        <f t="shared" si="21"/>
        <v>0.21440677966101696</v>
      </c>
    </row>
    <row r="91" spans="1:12" ht="14.4" x14ac:dyDescent="0.3">
      <c r="A91" s="263">
        <f t="shared" si="17"/>
        <v>1999</v>
      </c>
      <c r="B91" s="264" t="str">
        <f t="shared" si="18"/>
        <v>1</v>
      </c>
      <c r="C91" s="306">
        <f t="shared" si="19"/>
        <v>19991</v>
      </c>
      <c r="D91" s="240">
        <v>36220</v>
      </c>
      <c r="E91" s="313">
        <v>25.7</v>
      </c>
      <c r="F91" s="314">
        <v>19.7</v>
      </c>
      <c r="G91" s="314">
        <v>45.4</v>
      </c>
      <c r="H91" s="314">
        <v>123.7</v>
      </c>
      <c r="I91" s="314">
        <v>64.099999999999994</v>
      </c>
      <c r="J91" s="314">
        <v>187.8</v>
      </c>
      <c r="K91" s="314">
        <f t="shared" si="20"/>
        <v>233.20000000000002</v>
      </c>
      <c r="L91" s="223">
        <f t="shared" si="21"/>
        <v>0.19468267581475127</v>
      </c>
    </row>
    <row r="92" spans="1:12" ht="14.4" x14ac:dyDescent="0.3">
      <c r="A92" s="263">
        <f t="shared" si="17"/>
        <v>1999</v>
      </c>
      <c r="B92" s="264" t="str">
        <f t="shared" si="18"/>
        <v>2</v>
      </c>
      <c r="C92" s="306">
        <f t="shared" si="19"/>
        <v>19992</v>
      </c>
      <c r="D92" s="240">
        <v>36312</v>
      </c>
      <c r="E92" s="307">
        <v>13.6</v>
      </c>
      <c r="F92" s="308">
        <v>13</v>
      </c>
      <c r="G92" s="308">
        <v>26.6</v>
      </c>
      <c r="H92" s="308">
        <v>100.2</v>
      </c>
      <c r="I92" s="308">
        <v>65.2</v>
      </c>
      <c r="J92" s="308">
        <v>165.5</v>
      </c>
      <c r="K92" s="308">
        <f t="shared" si="20"/>
        <v>192.1</v>
      </c>
      <c r="L92" s="22">
        <f t="shared" si="21"/>
        <v>0.13846954711087975</v>
      </c>
    </row>
    <row r="93" spans="1:12" ht="14.4" x14ac:dyDescent="0.3">
      <c r="A93" s="263">
        <f t="shared" si="17"/>
        <v>1999</v>
      </c>
      <c r="B93" s="264" t="str">
        <f t="shared" si="18"/>
        <v>3</v>
      </c>
      <c r="C93" s="306">
        <f t="shared" si="19"/>
        <v>19993</v>
      </c>
      <c r="D93" s="240">
        <v>36404</v>
      </c>
      <c r="E93" s="313">
        <v>11.4</v>
      </c>
      <c r="F93" s="314">
        <v>10.1</v>
      </c>
      <c r="G93" s="314">
        <v>21.4</v>
      </c>
      <c r="H93" s="314">
        <v>97.4</v>
      </c>
      <c r="I93" s="314">
        <v>83.5</v>
      </c>
      <c r="J93" s="314">
        <v>180.8</v>
      </c>
      <c r="K93" s="314">
        <f t="shared" si="20"/>
        <v>202.20000000000002</v>
      </c>
      <c r="L93" s="223">
        <f t="shared" si="21"/>
        <v>0.10583580613254202</v>
      </c>
    </row>
    <row r="94" spans="1:12" ht="14.4" x14ac:dyDescent="0.3">
      <c r="A94" s="263">
        <f t="shared" si="17"/>
        <v>1999</v>
      </c>
      <c r="B94" s="264" t="str">
        <f t="shared" si="18"/>
        <v>4</v>
      </c>
      <c r="C94" s="306">
        <f t="shared" si="19"/>
        <v>19994</v>
      </c>
      <c r="D94" s="240">
        <v>36495</v>
      </c>
      <c r="E94" s="307">
        <v>17.5</v>
      </c>
      <c r="F94" s="308">
        <v>15.8</v>
      </c>
      <c r="G94" s="308">
        <v>33.4</v>
      </c>
      <c r="H94" s="308">
        <v>92</v>
      </c>
      <c r="I94" s="308">
        <v>45.1</v>
      </c>
      <c r="J94" s="308">
        <v>137.1</v>
      </c>
      <c r="K94" s="308">
        <f t="shared" si="20"/>
        <v>170.5</v>
      </c>
      <c r="L94" s="22">
        <f t="shared" si="21"/>
        <v>0.19589442815249267</v>
      </c>
    </row>
    <row r="95" spans="1:12" ht="14.4" x14ac:dyDescent="0.3">
      <c r="A95" s="263">
        <f t="shared" si="17"/>
        <v>2000</v>
      </c>
      <c r="B95" s="264" t="str">
        <f t="shared" si="18"/>
        <v>1</v>
      </c>
      <c r="C95" s="306">
        <f t="shared" si="19"/>
        <v>20001</v>
      </c>
      <c r="D95" s="240">
        <v>36586</v>
      </c>
      <c r="E95" s="313">
        <v>13.1</v>
      </c>
      <c r="F95" s="314">
        <v>14.5</v>
      </c>
      <c r="G95" s="314">
        <v>27.6</v>
      </c>
      <c r="H95" s="314">
        <v>98.6</v>
      </c>
      <c r="I95" s="314">
        <v>33.6</v>
      </c>
      <c r="J95" s="314">
        <v>132.1</v>
      </c>
      <c r="K95" s="314">
        <f t="shared" si="20"/>
        <v>159.69999999999999</v>
      </c>
      <c r="L95" s="223">
        <f t="shared" si="21"/>
        <v>0.17282404508453353</v>
      </c>
    </row>
    <row r="96" spans="1:12" ht="14.4" x14ac:dyDescent="0.3">
      <c r="A96" s="263">
        <f t="shared" si="17"/>
        <v>2000</v>
      </c>
      <c r="B96" s="264" t="str">
        <f t="shared" si="18"/>
        <v>2</v>
      </c>
      <c r="C96" s="306">
        <f t="shared" si="19"/>
        <v>20002</v>
      </c>
      <c r="D96" s="240">
        <v>36678</v>
      </c>
      <c r="E96" s="307">
        <v>10.3</v>
      </c>
      <c r="F96" s="308">
        <v>15.8</v>
      </c>
      <c r="G96" s="308">
        <v>26.1</v>
      </c>
      <c r="H96" s="308">
        <v>84.5</v>
      </c>
      <c r="I96" s="308">
        <v>59.6</v>
      </c>
      <c r="J96" s="308">
        <v>144</v>
      </c>
      <c r="K96" s="308">
        <f t="shared" si="20"/>
        <v>170.1</v>
      </c>
      <c r="L96" s="22">
        <f t="shared" si="21"/>
        <v>0.15343915343915346</v>
      </c>
    </row>
    <row r="97" spans="1:12" ht="14.4" x14ac:dyDescent="0.3">
      <c r="A97" s="263">
        <f t="shared" si="17"/>
        <v>2000</v>
      </c>
      <c r="B97" s="264" t="str">
        <f t="shared" si="18"/>
        <v>3</v>
      </c>
      <c r="C97" s="306">
        <f t="shared" si="19"/>
        <v>20003</v>
      </c>
      <c r="D97" s="240">
        <v>36770</v>
      </c>
      <c r="E97" s="313">
        <v>17.899999999999999</v>
      </c>
      <c r="F97" s="314">
        <v>17.399999999999999</v>
      </c>
      <c r="G97" s="314">
        <v>35.299999999999997</v>
      </c>
      <c r="H97" s="314">
        <v>121.1</v>
      </c>
      <c r="I97" s="314">
        <v>67.900000000000006</v>
      </c>
      <c r="J97" s="314">
        <v>189</v>
      </c>
      <c r="K97" s="314">
        <f t="shared" si="20"/>
        <v>224.3</v>
      </c>
      <c r="L97" s="223">
        <f t="shared" si="21"/>
        <v>0.15737851092287114</v>
      </c>
    </row>
    <row r="98" spans="1:12" ht="14.4" x14ac:dyDescent="0.3">
      <c r="A98" s="263">
        <f t="shared" si="17"/>
        <v>2000</v>
      </c>
      <c r="B98" s="264" t="str">
        <f t="shared" si="18"/>
        <v>4</v>
      </c>
      <c r="C98" s="306">
        <f t="shared" si="19"/>
        <v>20004</v>
      </c>
      <c r="D98" s="240">
        <v>36861</v>
      </c>
      <c r="E98" s="307">
        <v>19.5</v>
      </c>
      <c r="F98" s="308">
        <v>19</v>
      </c>
      <c r="G98" s="308">
        <v>38.6</v>
      </c>
      <c r="H98" s="308">
        <v>102.5</v>
      </c>
      <c r="I98" s="308">
        <v>86.9</v>
      </c>
      <c r="J98" s="308">
        <v>189.3</v>
      </c>
      <c r="K98" s="308">
        <f t="shared" si="20"/>
        <v>227.9</v>
      </c>
      <c r="L98" s="22">
        <f t="shared" si="21"/>
        <v>0.16937253181219833</v>
      </c>
    </row>
    <row r="99" spans="1:12" ht="14.4" x14ac:dyDescent="0.3">
      <c r="A99" s="263">
        <f t="shared" si="17"/>
        <v>2001</v>
      </c>
      <c r="B99" s="264" t="str">
        <f t="shared" si="18"/>
        <v>1</v>
      </c>
      <c r="C99" s="306">
        <f t="shared" si="19"/>
        <v>20011</v>
      </c>
      <c r="D99" s="240">
        <v>36951</v>
      </c>
      <c r="E99" s="313">
        <v>34</v>
      </c>
      <c r="F99" s="314">
        <v>22.7</v>
      </c>
      <c r="G99" s="314">
        <v>56.7</v>
      </c>
      <c r="H99" s="314">
        <v>139</v>
      </c>
      <c r="I99" s="314">
        <v>98.9</v>
      </c>
      <c r="J99" s="314">
        <v>237.9</v>
      </c>
      <c r="K99" s="314">
        <f t="shared" si="20"/>
        <v>294.60000000000002</v>
      </c>
      <c r="L99" s="223">
        <f t="shared" si="21"/>
        <v>0.1924643584521385</v>
      </c>
    </row>
    <row r="100" spans="1:12" ht="14.4" x14ac:dyDescent="0.3">
      <c r="A100" s="263">
        <f t="shared" si="17"/>
        <v>2001</v>
      </c>
      <c r="B100" s="264" t="str">
        <f t="shared" si="18"/>
        <v>2</v>
      </c>
      <c r="C100" s="306">
        <f t="shared" si="19"/>
        <v>20012</v>
      </c>
      <c r="D100" s="240">
        <v>37043</v>
      </c>
      <c r="E100" s="307">
        <v>30.4</v>
      </c>
      <c r="F100" s="308">
        <v>18.399999999999999</v>
      </c>
      <c r="G100" s="308">
        <v>48.7</v>
      </c>
      <c r="H100" s="308">
        <v>163.9</v>
      </c>
      <c r="I100" s="308">
        <v>68.7</v>
      </c>
      <c r="J100" s="308">
        <v>232.6</v>
      </c>
      <c r="K100" s="308">
        <f t="shared" si="20"/>
        <v>281.3</v>
      </c>
      <c r="L100" s="22">
        <f t="shared" si="21"/>
        <v>0.17312477781727692</v>
      </c>
    </row>
    <row r="101" spans="1:12" ht="14.4" x14ac:dyDescent="0.3">
      <c r="A101" s="263">
        <f t="shared" si="17"/>
        <v>2001</v>
      </c>
      <c r="B101" s="264" t="str">
        <f t="shared" si="18"/>
        <v>3</v>
      </c>
      <c r="C101" s="306">
        <f t="shared" si="19"/>
        <v>20013</v>
      </c>
      <c r="D101" s="240">
        <v>37135</v>
      </c>
      <c r="E101" s="313">
        <v>29.6</v>
      </c>
      <c r="F101" s="314">
        <v>14.9</v>
      </c>
      <c r="G101" s="314">
        <v>44.5</v>
      </c>
      <c r="H101" s="314">
        <v>132.30000000000001</v>
      </c>
      <c r="I101" s="314">
        <v>61.5</v>
      </c>
      <c r="J101" s="314">
        <v>193.9</v>
      </c>
      <c r="K101" s="314">
        <f t="shared" si="20"/>
        <v>238.4</v>
      </c>
      <c r="L101" s="223">
        <f t="shared" si="21"/>
        <v>0.18666107382550334</v>
      </c>
    </row>
    <row r="102" spans="1:12" ht="14.4" x14ac:dyDescent="0.3">
      <c r="A102" s="263">
        <f t="shared" si="17"/>
        <v>2001</v>
      </c>
      <c r="B102" s="264" t="str">
        <f t="shared" si="18"/>
        <v>4</v>
      </c>
      <c r="C102" s="306">
        <f t="shared" si="19"/>
        <v>20014</v>
      </c>
      <c r="D102" s="240">
        <v>37226</v>
      </c>
      <c r="E102" s="307">
        <v>17</v>
      </c>
      <c r="F102" s="308">
        <v>13.7</v>
      </c>
      <c r="G102" s="308">
        <v>30.7</v>
      </c>
      <c r="H102" s="308">
        <v>155.80000000000001</v>
      </c>
      <c r="I102" s="308">
        <v>62.6</v>
      </c>
      <c r="J102" s="308">
        <v>218.4</v>
      </c>
      <c r="K102" s="308">
        <f t="shared" si="20"/>
        <v>249.1</v>
      </c>
      <c r="L102" s="22">
        <f t="shared" si="21"/>
        <v>0.123243677238057</v>
      </c>
    </row>
    <row r="103" spans="1:12" ht="14.4" x14ac:dyDescent="0.3">
      <c r="A103" s="263">
        <f t="shared" si="17"/>
        <v>2002</v>
      </c>
      <c r="B103" s="264" t="str">
        <f t="shared" si="18"/>
        <v>1</v>
      </c>
      <c r="C103" s="306">
        <f t="shared" si="19"/>
        <v>20021</v>
      </c>
      <c r="D103" s="240">
        <v>37316</v>
      </c>
      <c r="E103" s="313">
        <v>20.8</v>
      </c>
      <c r="F103" s="314">
        <v>19.7</v>
      </c>
      <c r="G103" s="314">
        <v>40.5</v>
      </c>
      <c r="H103" s="314">
        <v>85.4</v>
      </c>
      <c r="I103" s="314">
        <v>74.599999999999994</v>
      </c>
      <c r="J103" s="314">
        <v>160</v>
      </c>
      <c r="K103" s="314">
        <f t="shared" si="20"/>
        <v>200.5</v>
      </c>
      <c r="L103" s="223">
        <f t="shared" si="21"/>
        <v>0.20199501246882792</v>
      </c>
    </row>
    <row r="104" spans="1:12" ht="14.4" x14ac:dyDescent="0.3">
      <c r="A104" s="263">
        <f t="shared" si="17"/>
        <v>2002</v>
      </c>
      <c r="B104" s="264" t="str">
        <f t="shared" si="18"/>
        <v>2</v>
      </c>
      <c r="C104" s="306">
        <f t="shared" si="19"/>
        <v>20022</v>
      </c>
      <c r="D104" s="240">
        <v>37408</v>
      </c>
      <c r="E104" s="307">
        <v>34.200000000000003</v>
      </c>
      <c r="F104" s="308">
        <v>17.8</v>
      </c>
      <c r="G104" s="308">
        <v>52</v>
      </c>
      <c r="H104" s="308">
        <v>79</v>
      </c>
      <c r="I104" s="308">
        <v>60.6</v>
      </c>
      <c r="J104" s="308">
        <v>139.6</v>
      </c>
      <c r="K104" s="308">
        <f t="shared" si="20"/>
        <v>191.6</v>
      </c>
      <c r="L104" s="22">
        <f t="shared" si="21"/>
        <v>0.27139874739039666</v>
      </c>
    </row>
    <row r="105" spans="1:12" ht="14.4" x14ac:dyDescent="0.3">
      <c r="A105" s="263">
        <f t="shared" si="17"/>
        <v>2002</v>
      </c>
      <c r="B105" s="264" t="str">
        <f t="shared" si="18"/>
        <v>3</v>
      </c>
      <c r="C105" s="306">
        <f t="shared" si="19"/>
        <v>20023</v>
      </c>
      <c r="D105" s="240">
        <v>37500</v>
      </c>
      <c r="E105" s="313">
        <v>31.6</v>
      </c>
      <c r="F105" s="314">
        <v>21</v>
      </c>
      <c r="G105" s="314">
        <v>52.6</v>
      </c>
      <c r="H105" s="314">
        <v>120.3</v>
      </c>
      <c r="I105" s="314">
        <v>53.7</v>
      </c>
      <c r="J105" s="314">
        <v>174</v>
      </c>
      <c r="K105" s="314">
        <f t="shared" si="20"/>
        <v>226.6</v>
      </c>
      <c r="L105" s="223">
        <f t="shared" si="21"/>
        <v>0.23212709620476613</v>
      </c>
    </row>
    <row r="106" spans="1:12" ht="14.4" x14ac:dyDescent="0.3">
      <c r="A106" s="263">
        <f t="shared" si="17"/>
        <v>2002</v>
      </c>
      <c r="B106" s="264" t="str">
        <f t="shared" si="18"/>
        <v>4</v>
      </c>
      <c r="C106" s="306">
        <f t="shared" si="19"/>
        <v>20024</v>
      </c>
      <c r="D106" s="240">
        <v>37591</v>
      </c>
      <c r="E106" s="307">
        <v>31</v>
      </c>
      <c r="F106" s="308">
        <v>26.2</v>
      </c>
      <c r="G106" s="308">
        <v>57.2</v>
      </c>
      <c r="H106" s="308">
        <v>132.69999999999999</v>
      </c>
      <c r="I106" s="308">
        <v>57.4</v>
      </c>
      <c r="J106" s="308">
        <v>190.1</v>
      </c>
      <c r="K106" s="308">
        <f t="shared" si="20"/>
        <v>247.3</v>
      </c>
      <c r="L106" s="22">
        <f t="shared" si="21"/>
        <v>0.23129801860088961</v>
      </c>
    </row>
    <row r="107" spans="1:12" ht="14.4" x14ac:dyDescent="0.3">
      <c r="A107" s="263">
        <f t="shared" si="17"/>
        <v>2003</v>
      </c>
      <c r="B107" s="264" t="str">
        <f t="shared" si="18"/>
        <v>1</v>
      </c>
      <c r="C107" s="306">
        <f t="shared" si="19"/>
        <v>20031</v>
      </c>
      <c r="D107" s="240">
        <v>37681</v>
      </c>
      <c r="E107" s="313">
        <v>12.1</v>
      </c>
      <c r="F107" s="314">
        <v>22.5</v>
      </c>
      <c r="G107" s="314">
        <v>34.700000000000003</v>
      </c>
      <c r="H107" s="314">
        <v>176.5</v>
      </c>
      <c r="I107" s="314">
        <v>56.9</v>
      </c>
      <c r="J107" s="314">
        <v>233.4</v>
      </c>
      <c r="K107" s="314">
        <f t="shared" si="20"/>
        <v>268.10000000000002</v>
      </c>
      <c r="L107" s="223">
        <f t="shared" si="21"/>
        <v>0.12942931741887356</v>
      </c>
    </row>
    <row r="108" spans="1:12" ht="14.4" x14ac:dyDescent="0.3">
      <c r="A108" s="263">
        <f t="shared" si="17"/>
        <v>2003</v>
      </c>
      <c r="B108" s="264" t="str">
        <f t="shared" si="18"/>
        <v>2</v>
      </c>
      <c r="C108" s="306">
        <f t="shared" si="19"/>
        <v>20032</v>
      </c>
      <c r="D108" s="240">
        <v>37773</v>
      </c>
      <c r="E108" s="307">
        <v>19.899999999999999</v>
      </c>
      <c r="F108" s="308">
        <v>23.7</v>
      </c>
      <c r="G108" s="308">
        <v>43.6</v>
      </c>
      <c r="H108" s="308">
        <v>135.1</v>
      </c>
      <c r="I108" s="308">
        <v>72.3</v>
      </c>
      <c r="J108" s="308">
        <v>207.3</v>
      </c>
      <c r="K108" s="308">
        <f t="shared" si="20"/>
        <v>250.9</v>
      </c>
      <c r="L108" s="22">
        <f t="shared" si="21"/>
        <v>0.17377441211638103</v>
      </c>
    </row>
    <row r="109" spans="1:12" ht="14.4" x14ac:dyDescent="0.3">
      <c r="A109" s="263">
        <f t="shared" si="17"/>
        <v>2003</v>
      </c>
      <c r="B109" s="264" t="str">
        <f t="shared" si="18"/>
        <v>3</v>
      </c>
      <c r="C109" s="306">
        <f t="shared" si="19"/>
        <v>20033</v>
      </c>
      <c r="D109" s="240">
        <v>37865</v>
      </c>
      <c r="E109" s="313">
        <v>12.4</v>
      </c>
      <c r="F109" s="314">
        <v>27.9</v>
      </c>
      <c r="G109" s="314">
        <v>40.4</v>
      </c>
      <c r="H109" s="314">
        <v>123.6</v>
      </c>
      <c r="I109" s="314">
        <v>78.5</v>
      </c>
      <c r="J109" s="314">
        <v>202.1</v>
      </c>
      <c r="K109" s="314">
        <f t="shared" si="20"/>
        <v>242.5</v>
      </c>
      <c r="L109" s="223">
        <f t="shared" si="21"/>
        <v>0.16659793814432988</v>
      </c>
    </row>
    <row r="110" spans="1:12" ht="14.4" x14ac:dyDescent="0.3">
      <c r="A110" s="263">
        <f t="shared" si="17"/>
        <v>2003</v>
      </c>
      <c r="B110" s="264" t="str">
        <f t="shared" si="18"/>
        <v>4</v>
      </c>
      <c r="C110" s="306">
        <f t="shared" si="19"/>
        <v>20034</v>
      </c>
      <c r="D110" s="240">
        <v>37956</v>
      </c>
      <c r="E110" s="307">
        <v>35.9</v>
      </c>
      <c r="F110" s="308">
        <v>30.2</v>
      </c>
      <c r="G110" s="308">
        <v>66</v>
      </c>
      <c r="H110" s="308">
        <v>94.9</v>
      </c>
      <c r="I110" s="308">
        <v>100.3</v>
      </c>
      <c r="J110" s="308">
        <v>195.2</v>
      </c>
      <c r="K110" s="308">
        <f t="shared" si="20"/>
        <v>261.2</v>
      </c>
      <c r="L110" s="22">
        <f t="shared" si="21"/>
        <v>0.25267993874425726</v>
      </c>
    </row>
    <row r="111" spans="1:12" ht="14.4" x14ac:dyDescent="0.3">
      <c r="A111" s="263">
        <f t="shared" si="17"/>
        <v>2004</v>
      </c>
      <c r="B111" s="264" t="str">
        <f t="shared" si="18"/>
        <v>1</v>
      </c>
      <c r="C111" s="306">
        <f t="shared" si="19"/>
        <v>20041</v>
      </c>
      <c r="D111" s="240">
        <v>38047</v>
      </c>
      <c r="E111" s="313">
        <v>37.5</v>
      </c>
      <c r="F111" s="314">
        <v>23.6</v>
      </c>
      <c r="G111" s="314">
        <v>61.1</v>
      </c>
      <c r="H111" s="314">
        <v>61.5</v>
      </c>
      <c r="I111" s="314">
        <v>50.1</v>
      </c>
      <c r="J111" s="314">
        <v>111.6</v>
      </c>
      <c r="K111" s="314">
        <f t="shared" si="20"/>
        <v>172.7</v>
      </c>
      <c r="L111" s="223">
        <f t="shared" si="21"/>
        <v>0.35379270411117547</v>
      </c>
    </row>
    <row r="112" spans="1:12" ht="14.4" x14ac:dyDescent="0.3">
      <c r="A112" s="263">
        <f t="shared" si="17"/>
        <v>2004</v>
      </c>
      <c r="B112" s="264" t="str">
        <f t="shared" si="18"/>
        <v>2</v>
      </c>
      <c r="C112" s="306">
        <f t="shared" si="19"/>
        <v>20042</v>
      </c>
      <c r="D112" s="240">
        <v>38139</v>
      </c>
      <c r="E112" s="307">
        <v>37.9</v>
      </c>
      <c r="F112" s="308">
        <v>22.5</v>
      </c>
      <c r="G112" s="308">
        <v>60.5</v>
      </c>
      <c r="H112" s="308"/>
      <c r="I112" s="308"/>
      <c r="J112" s="308">
        <v>202.3</v>
      </c>
      <c r="K112" s="308">
        <f t="shared" si="20"/>
        <v>262.8</v>
      </c>
      <c r="L112" s="22">
        <f t="shared" si="21"/>
        <v>0.2302130898021309</v>
      </c>
    </row>
    <row r="113" spans="1:12" ht="14.4" x14ac:dyDescent="0.3">
      <c r="A113" s="263">
        <f t="shared" si="17"/>
        <v>2004</v>
      </c>
      <c r="B113" s="264" t="str">
        <f t="shared" si="18"/>
        <v>3</v>
      </c>
      <c r="C113" s="306">
        <f t="shared" si="19"/>
        <v>20043</v>
      </c>
      <c r="D113" s="240">
        <v>38231</v>
      </c>
      <c r="E113" s="313">
        <v>40</v>
      </c>
      <c r="F113" s="314">
        <v>35.9</v>
      </c>
      <c r="G113" s="314">
        <v>75.900000000000006</v>
      </c>
      <c r="H113" s="314">
        <v>70</v>
      </c>
      <c r="I113" s="314">
        <v>76.599999999999994</v>
      </c>
      <c r="J113" s="314">
        <v>146.5</v>
      </c>
      <c r="K113" s="314">
        <f t="shared" si="20"/>
        <v>222.4</v>
      </c>
      <c r="L113" s="223">
        <f t="shared" si="21"/>
        <v>0.34127697841726623</v>
      </c>
    </row>
    <row r="114" spans="1:12" ht="14.4" x14ac:dyDescent="0.3">
      <c r="A114" s="263">
        <f t="shared" si="17"/>
        <v>2004</v>
      </c>
      <c r="B114" s="264" t="str">
        <f t="shared" si="18"/>
        <v>4</v>
      </c>
      <c r="C114" s="306">
        <f t="shared" si="19"/>
        <v>20044</v>
      </c>
      <c r="D114" s="240">
        <v>38322</v>
      </c>
      <c r="E114" s="307">
        <v>38.299999999999997</v>
      </c>
      <c r="F114" s="308">
        <v>23</v>
      </c>
      <c r="G114" s="308">
        <v>61.3</v>
      </c>
      <c r="H114" s="308">
        <v>140.6</v>
      </c>
      <c r="I114" s="308">
        <v>57.8</v>
      </c>
      <c r="J114" s="308">
        <v>198.4</v>
      </c>
      <c r="K114" s="308">
        <f t="shared" si="20"/>
        <v>259.7</v>
      </c>
      <c r="L114" s="22">
        <f t="shared" si="21"/>
        <v>0.23604158644589912</v>
      </c>
    </row>
    <row r="115" spans="1:12" ht="14.4" x14ac:dyDescent="0.3">
      <c r="A115" s="263">
        <f t="shared" si="17"/>
        <v>2005</v>
      </c>
      <c r="B115" s="264" t="str">
        <f t="shared" si="18"/>
        <v>1</v>
      </c>
      <c r="C115" s="306">
        <f t="shared" si="19"/>
        <v>20051</v>
      </c>
      <c r="D115" s="240">
        <v>38412</v>
      </c>
      <c r="E115" s="313">
        <v>40.4</v>
      </c>
      <c r="F115" s="314">
        <v>22.3</v>
      </c>
      <c r="G115" s="314">
        <v>62.7</v>
      </c>
      <c r="H115" s="314">
        <v>133.6</v>
      </c>
      <c r="I115" s="314">
        <v>84.4</v>
      </c>
      <c r="J115" s="314">
        <v>218</v>
      </c>
      <c r="K115" s="314">
        <f t="shared" si="20"/>
        <v>280.7</v>
      </c>
      <c r="L115" s="223">
        <f t="shared" si="21"/>
        <v>0.22337014606341291</v>
      </c>
    </row>
    <row r="116" spans="1:12" ht="14.4" x14ac:dyDescent="0.3">
      <c r="A116" s="263">
        <f t="shared" si="17"/>
        <v>2005</v>
      </c>
      <c r="B116" s="264" t="str">
        <f t="shared" si="18"/>
        <v>2</v>
      </c>
      <c r="C116" s="306">
        <f t="shared" si="19"/>
        <v>20052</v>
      </c>
      <c r="D116" s="240">
        <v>38504</v>
      </c>
      <c r="E116" s="307">
        <v>34.200000000000003</v>
      </c>
      <c r="F116" s="308">
        <v>37.4</v>
      </c>
      <c r="G116" s="308">
        <v>71.599999999999994</v>
      </c>
      <c r="H116" s="308">
        <v>158.69999999999999</v>
      </c>
      <c r="I116" s="308">
        <v>47.5</v>
      </c>
      <c r="J116" s="308">
        <v>206.3</v>
      </c>
      <c r="K116" s="308">
        <f t="shared" si="20"/>
        <v>277.89999999999998</v>
      </c>
      <c r="L116" s="22">
        <f t="shared" si="21"/>
        <v>0.25764663548038863</v>
      </c>
    </row>
    <row r="117" spans="1:12" ht="14.4" x14ac:dyDescent="0.3">
      <c r="A117" s="263">
        <f t="shared" si="17"/>
        <v>2005</v>
      </c>
      <c r="B117" s="264" t="str">
        <f t="shared" si="18"/>
        <v>3</v>
      </c>
      <c r="C117" s="306">
        <f t="shared" si="19"/>
        <v>20053</v>
      </c>
      <c r="D117" s="240">
        <v>38596</v>
      </c>
      <c r="E117" s="313">
        <v>51.2</v>
      </c>
      <c r="F117" s="314">
        <v>30.1</v>
      </c>
      <c r="G117" s="314">
        <v>81.3</v>
      </c>
      <c r="H117" s="314">
        <v>134.30000000000001</v>
      </c>
      <c r="I117" s="314">
        <v>83.4</v>
      </c>
      <c r="J117" s="314">
        <v>217.7</v>
      </c>
      <c r="K117" s="314">
        <f t="shared" si="20"/>
        <v>299</v>
      </c>
      <c r="L117" s="223">
        <f t="shared" si="21"/>
        <v>0.27190635451505013</v>
      </c>
    </row>
    <row r="118" spans="1:12" ht="14.4" x14ac:dyDescent="0.3">
      <c r="A118" s="263">
        <f t="shared" si="17"/>
        <v>2005</v>
      </c>
      <c r="B118" s="264" t="str">
        <f t="shared" si="18"/>
        <v>4</v>
      </c>
      <c r="C118" s="306">
        <f t="shared" si="19"/>
        <v>20054</v>
      </c>
      <c r="D118" s="240">
        <v>38687</v>
      </c>
      <c r="E118" s="307">
        <v>52.1</v>
      </c>
      <c r="F118" s="308">
        <v>29.5</v>
      </c>
      <c r="G118" s="308">
        <v>81.599999999999994</v>
      </c>
      <c r="H118" s="308">
        <v>125.4</v>
      </c>
      <c r="I118" s="308">
        <v>92.5</v>
      </c>
      <c r="J118" s="308">
        <v>217.9</v>
      </c>
      <c r="K118" s="308">
        <f t="shared" si="20"/>
        <v>299.5</v>
      </c>
      <c r="L118" s="22">
        <f t="shared" si="21"/>
        <v>0.27245409015025041</v>
      </c>
    </row>
    <row r="119" spans="1:12" ht="14.4" x14ac:dyDescent="0.3">
      <c r="A119" s="263">
        <f t="shared" si="17"/>
        <v>2006</v>
      </c>
      <c r="B119" s="264" t="str">
        <f t="shared" si="18"/>
        <v>1</v>
      </c>
      <c r="C119" s="306">
        <f t="shared" si="19"/>
        <v>20061</v>
      </c>
      <c r="D119" s="240">
        <v>38777</v>
      </c>
      <c r="E119" s="313">
        <v>60.3</v>
      </c>
      <c r="F119" s="314">
        <v>37.1</v>
      </c>
      <c r="G119" s="314">
        <v>97.4</v>
      </c>
      <c r="H119" s="314">
        <v>105</v>
      </c>
      <c r="I119" s="314">
        <v>85.2</v>
      </c>
      <c r="J119" s="314">
        <v>190.2</v>
      </c>
      <c r="K119" s="314">
        <f t="shared" si="20"/>
        <v>287.60000000000002</v>
      </c>
      <c r="L119" s="223">
        <f t="shared" si="21"/>
        <v>0.33866481223922112</v>
      </c>
    </row>
    <row r="120" spans="1:12" ht="14.4" x14ac:dyDescent="0.3">
      <c r="A120" s="263">
        <f t="shared" si="17"/>
        <v>2006</v>
      </c>
      <c r="B120" s="264" t="str">
        <f t="shared" si="18"/>
        <v>2</v>
      </c>
      <c r="C120" s="306">
        <f t="shared" si="19"/>
        <v>20062</v>
      </c>
      <c r="D120" s="240">
        <v>38869</v>
      </c>
      <c r="E120" s="307">
        <v>67.900000000000006</v>
      </c>
      <c r="F120" s="308">
        <v>29.7</v>
      </c>
      <c r="G120" s="308">
        <v>97.5</v>
      </c>
      <c r="H120" s="308">
        <v>125.5</v>
      </c>
      <c r="I120" s="308">
        <v>147.30000000000001</v>
      </c>
      <c r="J120" s="308">
        <v>272.8</v>
      </c>
      <c r="K120" s="308">
        <f t="shared" si="20"/>
        <v>370.3</v>
      </c>
      <c r="L120" s="22">
        <f t="shared" si="21"/>
        <v>0.26330002700513094</v>
      </c>
    </row>
    <row r="121" spans="1:12" ht="14.4" x14ac:dyDescent="0.3">
      <c r="A121" s="263">
        <f t="shared" si="17"/>
        <v>2006</v>
      </c>
      <c r="B121" s="264" t="str">
        <f t="shared" si="18"/>
        <v>3</v>
      </c>
      <c r="C121" s="306">
        <f t="shared" si="19"/>
        <v>20063</v>
      </c>
      <c r="D121" s="240">
        <v>38961</v>
      </c>
      <c r="E121" s="313">
        <v>62.8</v>
      </c>
      <c r="F121" s="314">
        <v>46.4</v>
      </c>
      <c r="G121" s="314">
        <v>109.2</v>
      </c>
      <c r="H121" s="314">
        <v>257</v>
      </c>
      <c r="I121" s="314">
        <v>153</v>
      </c>
      <c r="J121" s="314">
        <v>410.1</v>
      </c>
      <c r="K121" s="314">
        <f t="shared" si="20"/>
        <v>519.30000000000007</v>
      </c>
      <c r="L121" s="223">
        <f t="shared" si="21"/>
        <v>0.21028307336799534</v>
      </c>
    </row>
    <row r="122" spans="1:12" ht="14.4" x14ac:dyDescent="0.3">
      <c r="A122" s="263">
        <f t="shared" si="17"/>
        <v>2006</v>
      </c>
      <c r="B122" s="264" t="str">
        <f t="shared" si="18"/>
        <v>4</v>
      </c>
      <c r="C122" s="306">
        <f t="shared" si="19"/>
        <v>20064</v>
      </c>
      <c r="D122" s="240">
        <v>39052</v>
      </c>
      <c r="E122" s="307">
        <v>71.8</v>
      </c>
      <c r="F122" s="308">
        <v>48.4</v>
      </c>
      <c r="G122" s="308">
        <v>120.2</v>
      </c>
      <c r="H122" s="308">
        <v>255.6</v>
      </c>
      <c r="I122" s="308">
        <v>130.6</v>
      </c>
      <c r="J122" s="308">
        <v>386.2</v>
      </c>
      <c r="K122" s="308">
        <f t="shared" si="20"/>
        <v>506.4</v>
      </c>
      <c r="L122" s="22">
        <f t="shared" si="21"/>
        <v>0.2373617693522907</v>
      </c>
    </row>
    <row r="123" spans="1:12" ht="14.4" x14ac:dyDescent="0.3">
      <c r="A123" s="263">
        <f t="shared" si="17"/>
        <v>2007</v>
      </c>
      <c r="B123" s="264" t="str">
        <f t="shared" si="18"/>
        <v>1</v>
      </c>
      <c r="C123" s="306">
        <f t="shared" si="19"/>
        <v>20071</v>
      </c>
      <c r="D123" s="240">
        <v>39142</v>
      </c>
      <c r="E123" s="313">
        <v>84.9</v>
      </c>
      <c r="F123" s="314">
        <v>48.3</v>
      </c>
      <c r="G123" s="314">
        <v>133.19999999999999</v>
      </c>
      <c r="H123" s="314">
        <v>211.7</v>
      </c>
      <c r="I123" s="314">
        <v>141.69999999999999</v>
      </c>
      <c r="J123" s="314">
        <v>353.3</v>
      </c>
      <c r="K123" s="314">
        <f t="shared" si="20"/>
        <v>486.5</v>
      </c>
      <c r="L123" s="223">
        <f t="shared" si="21"/>
        <v>0.27379239465570399</v>
      </c>
    </row>
    <row r="124" spans="1:12" ht="14.4" x14ac:dyDescent="0.3">
      <c r="A124" s="263">
        <f t="shared" si="17"/>
        <v>2007</v>
      </c>
      <c r="B124" s="264" t="str">
        <f t="shared" si="18"/>
        <v>2</v>
      </c>
      <c r="C124" s="306">
        <f t="shared" si="19"/>
        <v>20072</v>
      </c>
      <c r="D124" s="240">
        <v>39234</v>
      </c>
      <c r="E124" s="307">
        <v>92.5</v>
      </c>
      <c r="F124" s="308">
        <v>44.8</v>
      </c>
      <c r="G124" s="308">
        <v>137.19999999999999</v>
      </c>
      <c r="H124" s="308">
        <v>386.2</v>
      </c>
      <c r="I124" s="308">
        <v>175.3</v>
      </c>
      <c r="J124" s="308">
        <v>561.4</v>
      </c>
      <c r="K124" s="308">
        <f t="shared" si="20"/>
        <v>698.59999999999991</v>
      </c>
      <c r="L124" s="22">
        <f t="shared" si="21"/>
        <v>0.19639278557114229</v>
      </c>
    </row>
    <row r="125" spans="1:12" ht="14.4" x14ac:dyDescent="0.3">
      <c r="A125" s="263">
        <f t="shared" si="17"/>
        <v>2007</v>
      </c>
      <c r="B125" s="264" t="str">
        <f t="shared" si="18"/>
        <v>3</v>
      </c>
      <c r="C125" s="306">
        <f t="shared" si="19"/>
        <v>20073</v>
      </c>
      <c r="D125" s="240">
        <v>39326</v>
      </c>
      <c r="E125" s="313">
        <v>88.9</v>
      </c>
      <c r="F125" s="314">
        <v>25.3</v>
      </c>
      <c r="G125" s="314">
        <v>114.1</v>
      </c>
      <c r="H125" s="314">
        <v>436.7</v>
      </c>
      <c r="I125" s="314">
        <v>192.2</v>
      </c>
      <c r="J125" s="314">
        <v>629</v>
      </c>
      <c r="K125" s="314">
        <f t="shared" si="20"/>
        <v>743.1</v>
      </c>
      <c r="L125" s="223">
        <f t="shared" si="21"/>
        <v>0.1535459561297268</v>
      </c>
    </row>
    <row r="126" spans="1:12" ht="14.4" x14ac:dyDescent="0.3">
      <c r="A126" s="263">
        <f t="shared" si="17"/>
        <v>2007</v>
      </c>
      <c r="B126" s="264" t="str">
        <f t="shared" si="18"/>
        <v>4</v>
      </c>
      <c r="C126" s="306">
        <f t="shared" si="19"/>
        <v>20074</v>
      </c>
      <c r="D126" s="240">
        <v>39417</v>
      </c>
      <c r="E126" s="307">
        <v>100</v>
      </c>
      <c r="F126" s="308">
        <v>33.200000000000003</v>
      </c>
      <c r="G126" s="308">
        <v>133.1</v>
      </c>
      <c r="H126" s="308">
        <v>404.6</v>
      </c>
      <c r="I126" s="308">
        <v>190.4</v>
      </c>
      <c r="J126" s="308">
        <v>595</v>
      </c>
      <c r="K126" s="308">
        <f t="shared" si="20"/>
        <v>728.1</v>
      </c>
      <c r="L126" s="22">
        <f t="shared" si="21"/>
        <v>0.18280455981321245</v>
      </c>
    </row>
    <row r="127" spans="1:12" ht="14.4" x14ac:dyDescent="0.3">
      <c r="A127" s="263">
        <f t="shared" si="17"/>
        <v>2008</v>
      </c>
      <c r="B127" s="264" t="str">
        <f t="shared" si="18"/>
        <v>1</v>
      </c>
      <c r="C127" s="306">
        <f t="shared" si="19"/>
        <v>20081</v>
      </c>
      <c r="D127" s="240">
        <v>39508</v>
      </c>
      <c r="E127" s="313">
        <v>79.599999999999994</v>
      </c>
      <c r="F127" s="314">
        <v>37.1</v>
      </c>
      <c r="G127" s="314">
        <v>116.7</v>
      </c>
      <c r="H127" s="314">
        <v>395.5</v>
      </c>
      <c r="I127" s="314">
        <v>235.1</v>
      </c>
      <c r="J127" s="314">
        <v>630.6</v>
      </c>
      <c r="K127" s="314">
        <f t="shared" si="20"/>
        <v>747.30000000000007</v>
      </c>
      <c r="L127" s="223">
        <f t="shared" si="21"/>
        <v>0.15616218386190284</v>
      </c>
    </row>
    <row r="128" spans="1:12" ht="14.4" x14ac:dyDescent="0.3">
      <c r="A128" s="263">
        <f t="shared" si="17"/>
        <v>2008</v>
      </c>
      <c r="B128" s="264" t="str">
        <f t="shared" si="18"/>
        <v>2</v>
      </c>
      <c r="C128" s="306">
        <f t="shared" si="19"/>
        <v>20082</v>
      </c>
      <c r="D128" s="240">
        <v>39600</v>
      </c>
      <c r="E128" s="307">
        <v>99.6</v>
      </c>
      <c r="F128" s="308">
        <v>26.8</v>
      </c>
      <c r="G128" s="308">
        <v>126.4</v>
      </c>
      <c r="H128" s="308">
        <v>498.3</v>
      </c>
      <c r="I128" s="308">
        <v>185.8</v>
      </c>
      <c r="J128" s="308">
        <v>684.1</v>
      </c>
      <c r="K128" s="308">
        <f t="shared" si="20"/>
        <v>810.5</v>
      </c>
      <c r="L128" s="22">
        <f t="shared" si="21"/>
        <v>0.15595311536088835</v>
      </c>
    </row>
    <row r="129" spans="1:12" ht="14.4" x14ac:dyDescent="0.3">
      <c r="A129" s="263">
        <f t="shared" si="17"/>
        <v>2008</v>
      </c>
      <c r="B129" s="264" t="str">
        <f t="shared" si="18"/>
        <v>3</v>
      </c>
      <c r="C129" s="306">
        <f t="shared" si="19"/>
        <v>20083</v>
      </c>
      <c r="D129" s="240">
        <v>39692</v>
      </c>
      <c r="E129" s="313">
        <v>83.9</v>
      </c>
      <c r="F129" s="314">
        <v>37.299999999999997</v>
      </c>
      <c r="G129" s="314">
        <v>121.2</v>
      </c>
      <c r="H129" s="314">
        <v>498.9</v>
      </c>
      <c r="I129" s="314">
        <v>207.7</v>
      </c>
      <c r="J129" s="314">
        <v>706.6</v>
      </c>
      <c r="K129" s="314">
        <f t="shared" si="20"/>
        <v>827.80000000000007</v>
      </c>
      <c r="L129" s="223">
        <f t="shared" si="21"/>
        <v>0.14641217685431263</v>
      </c>
    </row>
    <row r="130" spans="1:12" ht="14.4" x14ac:dyDescent="0.3">
      <c r="A130" s="263">
        <f t="shared" si="17"/>
        <v>2008</v>
      </c>
      <c r="B130" s="264" t="str">
        <f t="shared" si="18"/>
        <v>4</v>
      </c>
      <c r="C130" s="306">
        <f t="shared" si="19"/>
        <v>20084</v>
      </c>
      <c r="D130" s="240">
        <v>39783</v>
      </c>
      <c r="E130" s="307">
        <v>73.599999999999994</v>
      </c>
      <c r="F130" s="308">
        <v>39.1</v>
      </c>
      <c r="G130" s="308">
        <v>112.7</v>
      </c>
      <c r="H130" s="308">
        <v>538.29999999999995</v>
      </c>
      <c r="I130" s="308">
        <v>319.89999999999998</v>
      </c>
      <c r="J130" s="308">
        <v>858.2</v>
      </c>
      <c r="K130" s="308">
        <f t="shared" si="20"/>
        <v>970.90000000000009</v>
      </c>
      <c r="L130" s="22">
        <f t="shared" si="21"/>
        <v>0.11607786589762076</v>
      </c>
    </row>
    <row r="131" spans="1:12" ht="14.4" x14ac:dyDescent="0.3">
      <c r="A131" s="263">
        <f t="shared" si="17"/>
        <v>2009</v>
      </c>
      <c r="B131" s="264" t="str">
        <f t="shared" si="18"/>
        <v>1</v>
      </c>
      <c r="C131" s="306">
        <f t="shared" si="19"/>
        <v>20091</v>
      </c>
      <c r="D131" s="240">
        <v>39873</v>
      </c>
      <c r="E131" s="313">
        <v>68.099999999999994</v>
      </c>
      <c r="F131" s="314">
        <v>38.9</v>
      </c>
      <c r="G131" s="314">
        <v>107</v>
      </c>
      <c r="H131" s="314">
        <v>631.5</v>
      </c>
      <c r="I131" s="314">
        <v>311.5</v>
      </c>
      <c r="J131" s="314">
        <v>943</v>
      </c>
      <c r="K131" s="314">
        <f t="shared" si="20"/>
        <v>1050</v>
      </c>
      <c r="L131" s="223">
        <f t="shared" si="21"/>
        <v>0.1019047619047619</v>
      </c>
    </row>
    <row r="132" spans="1:12" ht="14.4" x14ac:dyDescent="0.3">
      <c r="A132" s="263">
        <f t="shared" si="17"/>
        <v>2009</v>
      </c>
      <c r="B132" s="264" t="str">
        <f t="shared" si="18"/>
        <v>2</v>
      </c>
      <c r="C132" s="306">
        <f t="shared" si="19"/>
        <v>20092</v>
      </c>
      <c r="D132" s="240">
        <v>39965</v>
      </c>
      <c r="E132" s="307">
        <v>90.6</v>
      </c>
      <c r="F132" s="308">
        <v>60.6</v>
      </c>
      <c r="G132" s="308">
        <v>151.19999999999999</v>
      </c>
      <c r="H132" s="308">
        <v>499.9</v>
      </c>
      <c r="I132" s="308">
        <v>307.10000000000002</v>
      </c>
      <c r="J132" s="308">
        <v>807</v>
      </c>
      <c r="K132" s="308">
        <f t="shared" si="20"/>
        <v>958.2</v>
      </c>
      <c r="L132" s="22">
        <f t="shared" si="21"/>
        <v>0.15779586725109579</v>
      </c>
    </row>
    <row r="133" spans="1:12" ht="14.4" x14ac:dyDescent="0.3">
      <c r="A133" s="263">
        <f t="shared" si="17"/>
        <v>2009</v>
      </c>
      <c r="B133" s="264" t="str">
        <f t="shared" si="18"/>
        <v>3</v>
      </c>
      <c r="C133" s="306">
        <f t="shared" si="19"/>
        <v>20093</v>
      </c>
      <c r="D133" s="240">
        <v>40057</v>
      </c>
      <c r="E133" s="313">
        <v>115.9</v>
      </c>
      <c r="F133" s="314">
        <v>31.8</v>
      </c>
      <c r="G133" s="314">
        <v>147.80000000000001</v>
      </c>
      <c r="H133" s="314">
        <v>478.5</v>
      </c>
      <c r="I133" s="314">
        <v>216.7</v>
      </c>
      <c r="J133" s="314">
        <v>695.3</v>
      </c>
      <c r="K133" s="314">
        <f t="shared" si="20"/>
        <v>843.09999999999991</v>
      </c>
      <c r="L133" s="223">
        <f t="shared" si="21"/>
        <v>0.1753054204720674</v>
      </c>
    </row>
    <row r="134" spans="1:12" ht="14.4" x14ac:dyDescent="0.3">
      <c r="A134" s="263">
        <f t="shared" si="17"/>
        <v>2009</v>
      </c>
      <c r="B134" s="264" t="str">
        <f t="shared" si="18"/>
        <v>4</v>
      </c>
      <c r="C134" s="306">
        <f t="shared" si="19"/>
        <v>20094</v>
      </c>
      <c r="D134" s="240">
        <v>40148</v>
      </c>
      <c r="E134" s="307">
        <v>131.1</v>
      </c>
      <c r="F134" s="308">
        <v>49</v>
      </c>
      <c r="G134" s="308">
        <v>180.2</v>
      </c>
      <c r="H134" s="308">
        <v>483.9</v>
      </c>
      <c r="I134" s="308">
        <v>129.4</v>
      </c>
      <c r="J134" s="308">
        <v>613.4</v>
      </c>
      <c r="K134" s="308">
        <f t="shared" si="20"/>
        <v>793.59999999999991</v>
      </c>
      <c r="L134" s="22">
        <f t="shared" si="21"/>
        <v>0.22706653225806453</v>
      </c>
    </row>
    <row r="135" spans="1:12" ht="14.4" x14ac:dyDescent="0.3">
      <c r="A135" s="263">
        <f t="shared" si="17"/>
        <v>2010</v>
      </c>
      <c r="B135" s="264" t="str">
        <f t="shared" si="18"/>
        <v>1</v>
      </c>
      <c r="C135" s="306">
        <f t="shared" si="19"/>
        <v>20101</v>
      </c>
      <c r="D135" s="240">
        <v>40238</v>
      </c>
      <c r="E135" s="313">
        <v>162.30000000000001</v>
      </c>
      <c r="F135" s="314">
        <v>53.6</v>
      </c>
      <c r="G135" s="314">
        <v>215.8</v>
      </c>
      <c r="H135" s="314">
        <v>574.70000000000005</v>
      </c>
      <c r="I135" s="314">
        <v>118.5</v>
      </c>
      <c r="J135" s="314">
        <v>693.2</v>
      </c>
      <c r="K135" s="314">
        <f t="shared" si="20"/>
        <v>909</v>
      </c>
      <c r="L135" s="223">
        <f t="shared" si="21"/>
        <v>0.23740374037403741</v>
      </c>
    </row>
    <row r="136" spans="1:12" ht="14.4" x14ac:dyDescent="0.3">
      <c r="A136" s="263">
        <f t="shared" ref="A136:A175" si="22">YEAR(D136)</f>
        <v>2010</v>
      </c>
      <c r="B136" s="264" t="str">
        <f t="shared" ref="B136:B175" si="23">IF(MONTH(D136)&lt;4,"1",IF(MONTH(D136)&lt;7,"2",IF(MONTH(D136)&lt;10,"3","4")))</f>
        <v>2</v>
      </c>
      <c r="C136" s="306">
        <f t="shared" si="19"/>
        <v>20102</v>
      </c>
      <c r="D136" s="240">
        <v>40330</v>
      </c>
      <c r="E136" s="307">
        <v>162.4</v>
      </c>
      <c r="F136" s="308">
        <v>50.3</v>
      </c>
      <c r="G136" s="308">
        <v>212.7</v>
      </c>
      <c r="H136" s="308">
        <v>629.6</v>
      </c>
      <c r="I136" s="308">
        <v>111.2</v>
      </c>
      <c r="J136" s="308">
        <v>740.8</v>
      </c>
      <c r="K136" s="308">
        <f t="shared" si="20"/>
        <v>953.5</v>
      </c>
      <c r="L136" s="22">
        <f t="shared" si="21"/>
        <v>0.22307288935500785</v>
      </c>
    </row>
    <row r="137" spans="1:12" ht="14.4" x14ac:dyDescent="0.3">
      <c r="A137" s="263">
        <f t="shared" si="22"/>
        <v>2010</v>
      </c>
      <c r="B137" s="264" t="str">
        <f t="shared" si="23"/>
        <v>3</v>
      </c>
      <c r="C137" s="306">
        <f t="shared" ref="C137:C200" si="24">_xlfn.NUMBERVALUE(CONCATENATE(A137,B137))</f>
        <v>20103</v>
      </c>
      <c r="D137" s="240">
        <v>40422</v>
      </c>
      <c r="E137" s="313">
        <v>171.7</v>
      </c>
      <c r="F137" s="314">
        <v>35.299999999999997</v>
      </c>
      <c r="G137" s="314">
        <v>207.1</v>
      </c>
      <c r="H137" s="314">
        <v>578.70000000000005</v>
      </c>
      <c r="I137" s="314">
        <v>104.5</v>
      </c>
      <c r="J137" s="314">
        <v>683.2</v>
      </c>
      <c r="K137" s="314">
        <f t="shared" ref="K137:K190" si="25">SUM(J137,G137)</f>
        <v>890.30000000000007</v>
      </c>
      <c r="L137" s="223">
        <f t="shared" ref="L137:L178" si="26">G137/K137</f>
        <v>0.23261821857800738</v>
      </c>
    </row>
    <row r="138" spans="1:12" ht="14.4" x14ac:dyDescent="0.3">
      <c r="A138" s="263">
        <f t="shared" si="22"/>
        <v>2010</v>
      </c>
      <c r="B138" s="264" t="str">
        <f t="shared" si="23"/>
        <v>4</v>
      </c>
      <c r="C138" s="306">
        <f t="shared" si="24"/>
        <v>20104</v>
      </c>
      <c r="D138" s="240">
        <v>40513</v>
      </c>
      <c r="E138" s="307">
        <v>150.80000000000001</v>
      </c>
      <c r="F138" s="308">
        <v>26.2</v>
      </c>
      <c r="G138" s="308">
        <v>177</v>
      </c>
      <c r="H138" s="308">
        <v>525.79999999999995</v>
      </c>
      <c r="I138" s="308">
        <v>110.7</v>
      </c>
      <c r="J138" s="308">
        <v>636.6</v>
      </c>
      <c r="K138" s="308">
        <f t="shared" si="25"/>
        <v>813.6</v>
      </c>
      <c r="L138" s="22">
        <f t="shared" si="26"/>
        <v>0.21755162241887904</v>
      </c>
    </row>
    <row r="139" spans="1:12" ht="14.4" x14ac:dyDescent="0.3">
      <c r="A139" s="263">
        <f t="shared" si="22"/>
        <v>2011</v>
      </c>
      <c r="B139" s="264" t="str">
        <f t="shared" si="23"/>
        <v>1</v>
      </c>
      <c r="C139" s="306">
        <f t="shared" si="24"/>
        <v>20111</v>
      </c>
      <c r="D139" s="240">
        <v>40603</v>
      </c>
      <c r="E139" s="313">
        <v>153.1</v>
      </c>
      <c r="F139" s="314">
        <v>28.1</v>
      </c>
      <c r="G139" s="314">
        <v>181.2</v>
      </c>
      <c r="H139" s="314">
        <v>527.79999999999995</v>
      </c>
      <c r="I139" s="314">
        <v>99.7</v>
      </c>
      <c r="J139" s="314">
        <v>627.6</v>
      </c>
      <c r="K139" s="314">
        <f t="shared" si="25"/>
        <v>808.8</v>
      </c>
      <c r="L139" s="223">
        <f t="shared" si="26"/>
        <v>0.22403560830860533</v>
      </c>
    </row>
    <row r="140" spans="1:12" ht="14.4" x14ac:dyDescent="0.3">
      <c r="A140" s="263">
        <f t="shared" si="22"/>
        <v>2011</v>
      </c>
      <c r="B140" s="264" t="str">
        <f t="shared" si="23"/>
        <v>2</v>
      </c>
      <c r="C140" s="306">
        <f t="shared" si="24"/>
        <v>20112</v>
      </c>
      <c r="D140" s="240">
        <v>40695</v>
      </c>
      <c r="E140" s="307">
        <v>148.69999999999999</v>
      </c>
      <c r="F140" s="308">
        <v>44.7</v>
      </c>
      <c r="G140" s="308">
        <v>193.3</v>
      </c>
      <c r="H140" s="308">
        <v>497.3</v>
      </c>
      <c r="I140" s="308">
        <v>121.5</v>
      </c>
      <c r="J140" s="308">
        <v>618.79999999999995</v>
      </c>
      <c r="K140" s="308">
        <f t="shared" si="25"/>
        <v>812.09999999999991</v>
      </c>
      <c r="L140" s="22">
        <f t="shared" si="26"/>
        <v>0.23802487378401679</v>
      </c>
    </row>
    <row r="141" spans="1:12" ht="14.4" x14ac:dyDescent="0.3">
      <c r="A141" s="263">
        <f t="shared" si="22"/>
        <v>2011</v>
      </c>
      <c r="B141" s="264" t="str">
        <f t="shared" si="23"/>
        <v>3</v>
      </c>
      <c r="C141" s="306">
        <f t="shared" si="24"/>
        <v>20113</v>
      </c>
      <c r="D141" s="240">
        <v>40787</v>
      </c>
      <c r="E141" s="313">
        <v>179.2</v>
      </c>
      <c r="F141" s="314">
        <v>64.8</v>
      </c>
      <c r="G141" s="314">
        <v>244</v>
      </c>
      <c r="H141" s="314">
        <v>428.9</v>
      </c>
      <c r="I141" s="314">
        <v>139.19999999999999</v>
      </c>
      <c r="J141" s="314">
        <v>568.1</v>
      </c>
      <c r="K141" s="314">
        <f t="shared" si="25"/>
        <v>812.1</v>
      </c>
      <c r="L141" s="223">
        <f t="shared" si="26"/>
        <v>0.30045560891515821</v>
      </c>
    </row>
    <row r="142" spans="1:12" ht="14.4" x14ac:dyDescent="0.3">
      <c r="A142" s="263">
        <f t="shared" si="22"/>
        <v>2011</v>
      </c>
      <c r="B142" s="264" t="str">
        <f t="shared" si="23"/>
        <v>4</v>
      </c>
      <c r="C142" s="306">
        <f t="shared" si="24"/>
        <v>20114</v>
      </c>
      <c r="D142" s="240">
        <v>40878</v>
      </c>
      <c r="E142" s="307">
        <v>168</v>
      </c>
      <c r="F142" s="308">
        <v>73.599999999999994</v>
      </c>
      <c r="G142" s="308">
        <v>241.6</v>
      </c>
      <c r="H142" s="308">
        <v>457.3</v>
      </c>
      <c r="I142" s="308">
        <v>153.30000000000001</v>
      </c>
      <c r="J142" s="308">
        <v>610.6</v>
      </c>
      <c r="K142" s="308">
        <f t="shared" si="25"/>
        <v>852.2</v>
      </c>
      <c r="L142" s="22">
        <f t="shared" si="26"/>
        <v>0.28350152546350621</v>
      </c>
    </row>
    <row r="143" spans="1:12" ht="14.4" x14ac:dyDescent="0.3">
      <c r="A143" s="263">
        <f t="shared" si="22"/>
        <v>2012</v>
      </c>
      <c r="B143" s="264" t="str">
        <f t="shared" si="23"/>
        <v>1</v>
      </c>
      <c r="C143" s="306">
        <f t="shared" si="24"/>
        <v>20121</v>
      </c>
      <c r="D143" s="240">
        <v>40969</v>
      </c>
      <c r="E143" s="313">
        <v>136.5</v>
      </c>
      <c r="F143" s="314">
        <v>50.4</v>
      </c>
      <c r="G143" s="314">
        <v>186.9</v>
      </c>
      <c r="H143" s="314">
        <v>277.10000000000002</v>
      </c>
      <c r="I143" s="314">
        <v>165.1</v>
      </c>
      <c r="J143" s="314">
        <v>442.2</v>
      </c>
      <c r="K143" s="314">
        <f t="shared" si="25"/>
        <v>629.1</v>
      </c>
      <c r="L143" s="223">
        <f t="shared" si="26"/>
        <v>0.29709108249880783</v>
      </c>
    </row>
    <row r="144" spans="1:12" ht="14.4" x14ac:dyDescent="0.3">
      <c r="A144" s="263">
        <f t="shared" si="22"/>
        <v>2012</v>
      </c>
      <c r="B144" s="264" t="str">
        <f t="shared" si="23"/>
        <v>2</v>
      </c>
      <c r="C144" s="306">
        <f t="shared" si="24"/>
        <v>20122</v>
      </c>
      <c r="D144" s="240">
        <v>41061</v>
      </c>
      <c r="E144" s="307">
        <v>145</v>
      </c>
      <c r="F144" s="308">
        <v>97.3</v>
      </c>
      <c r="G144" s="308">
        <v>242.3</v>
      </c>
      <c r="H144" s="308">
        <v>493.1</v>
      </c>
      <c r="I144" s="308">
        <v>162.9</v>
      </c>
      <c r="J144" s="308">
        <v>656.1</v>
      </c>
      <c r="K144" s="308">
        <f t="shared" si="25"/>
        <v>898.40000000000009</v>
      </c>
      <c r="L144" s="22">
        <f t="shared" si="26"/>
        <v>0.26970169189670523</v>
      </c>
    </row>
    <row r="145" spans="1:12" ht="14.4" x14ac:dyDescent="0.3">
      <c r="A145" s="263">
        <f t="shared" si="22"/>
        <v>2012</v>
      </c>
      <c r="B145" s="264" t="str">
        <f t="shared" si="23"/>
        <v>3</v>
      </c>
      <c r="C145" s="306">
        <f t="shared" si="24"/>
        <v>20123</v>
      </c>
      <c r="D145" s="240">
        <v>41153</v>
      </c>
      <c r="E145" s="313">
        <v>165</v>
      </c>
      <c r="F145" s="314">
        <v>105.2</v>
      </c>
      <c r="G145" s="314">
        <v>270.2</v>
      </c>
      <c r="H145" s="314">
        <v>623.79999999999995</v>
      </c>
      <c r="I145" s="314">
        <v>222</v>
      </c>
      <c r="J145" s="314">
        <v>845.8</v>
      </c>
      <c r="K145" s="314">
        <f t="shared" si="25"/>
        <v>1116</v>
      </c>
      <c r="L145" s="223">
        <f t="shared" si="26"/>
        <v>0.24211469534050178</v>
      </c>
    </row>
    <row r="146" spans="1:12" ht="14.4" x14ac:dyDescent="0.3">
      <c r="A146" s="263">
        <f t="shared" si="22"/>
        <v>2012</v>
      </c>
      <c r="B146" s="264" t="str">
        <f t="shared" si="23"/>
        <v>4</v>
      </c>
      <c r="C146" s="306">
        <f t="shared" si="24"/>
        <v>20124</v>
      </c>
      <c r="D146" s="240">
        <v>41244</v>
      </c>
      <c r="E146" s="307">
        <v>212.3</v>
      </c>
      <c r="F146" s="308">
        <v>93.1</v>
      </c>
      <c r="G146" s="308">
        <v>305.39999999999998</v>
      </c>
      <c r="H146" s="308">
        <v>775.7</v>
      </c>
      <c r="I146" s="308">
        <v>243.6</v>
      </c>
      <c r="J146" s="308">
        <v>1019.3</v>
      </c>
      <c r="K146" s="308">
        <f t="shared" si="25"/>
        <v>1324.6999999999998</v>
      </c>
      <c r="L146" s="22">
        <f t="shared" si="26"/>
        <v>0.23054276439948668</v>
      </c>
    </row>
    <row r="147" spans="1:12" ht="14.4" x14ac:dyDescent="0.3">
      <c r="A147" s="263">
        <f t="shared" si="22"/>
        <v>2013</v>
      </c>
      <c r="B147" s="264" t="str">
        <f t="shared" si="23"/>
        <v>1</v>
      </c>
      <c r="C147" s="306">
        <f t="shared" si="24"/>
        <v>20131</v>
      </c>
      <c r="D147" s="240">
        <v>41334</v>
      </c>
      <c r="E147" s="313">
        <v>219.4</v>
      </c>
      <c r="F147" s="314">
        <v>97.9</v>
      </c>
      <c r="G147" s="314">
        <v>317.3</v>
      </c>
      <c r="H147" s="314">
        <v>571.4</v>
      </c>
      <c r="I147" s="314">
        <v>170.3</v>
      </c>
      <c r="J147" s="314">
        <v>741.7</v>
      </c>
      <c r="K147" s="314">
        <f t="shared" si="25"/>
        <v>1059</v>
      </c>
      <c r="L147" s="223">
        <f t="shared" si="26"/>
        <v>0.29962228517469314</v>
      </c>
    </row>
    <row r="148" spans="1:12" ht="14.4" x14ac:dyDescent="0.3">
      <c r="A148" s="263">
        <f t="shared" si="22"/>
        <v>2013</v>
      </c>
      <c r="B148" s="264" t="str">
        <f t="shared" si="23"/>
        <v>2</v>
      </c>
      <c r="C148" s="306">
        <f t="shared" si="24"/>
        <v>20132</v>
      </c>
      <c r="D148" s="240">
        <v>41426</v>
      </c>
      <c r="E148" s="307">
        <v>347.2</v>
      </c>
      <c r="F148" s="308">
        <v>124.8</v>
      </c>
      <c r="G148" s="308">
        <v>472</v>
      </c>
      <c r="H148" s="308">
        <v>659</v>
      </c>
      <c r="I148" s="308">
        <v>159.69999999999999</v>
      </c>
      <c r="J148" s="308">
        <v>818.7</v>
      </c>
      <c r="K148" s="308">
        <f t="shared" si="25"/>
        <v>1290.7</v>
      </c>
      <c r="L148" s="22">
        <f t="shared" si="26"/>
        <v>0.36569303478732468</v>
      </c>
    </row>
    <row r="149" spans="1:12" ht="14.4" x14ac:dyDescent="0.3">
      <c r="A149" s="263">
        <f t="shared" si="22"/>
        <v>2013</v>
      </c>
      <c r="B149" s="264" t="str">
        <f t="shared" si="23"/>
        <v>3</v>
      </c>
      <c r="C149" s="306">
        <f t="shared" si="24"/>
        <v>20133</v>
      </c>
      <c r="D149" s="240">
        <v>41518</v>
      </c>
      <c r="E149" s="313">
        <v>201</v>
      </c>
      <c r="F149" s="314">
        <v>101</v>
      </c>
      <c r="G149" s="314">
        <v>302</v>
      </c>
      <c r="H149" s="314">
        <v>698.5</v>
      </c>
      <c r="I149" s="314">
        <v>134.30000000000001</v>
      </c>
      <c r="J149" s="314">
        <v>832.8</v>
      </c>
      <c r="K149" s="314">
        <f t="shared" si="25"/>
        <v>1134.8</v>
      </c>
      <c r="L149" s="223">
        <f t="shared" si="26"/>
        <v>0.26612618963694046</v>
      </c>
    </row>
    <row r="150" spans="1:12" ht="14.4" x14ac:dyDescent="0.3">
      <c r="A150" s="263">
        <f t="shared" si="22"/>
        <v>2013</v>
      </c>
      <c r="B150" s="264" t="str">
        <f t="shared" si="23"/>
        <v>4</v>
      </c>
      <c r="C150" s="306">
        <f t="shared" si="24"/>
        <v>20134</v>
      </c>
      <c r="D150" s="240">
        <v>41609</v>
      </c>
      <c r="E150" s="307">
        <v>164.1</v>
      </c>
      <c r="F150" s="308">
        <v>96.9</v>
      </c>
      <c r="G150" s="308">
        <v>261.10000000000002</v>
      </c>
      <c r="H150" s="308">
        <v>628</v>
      </c>
      <c r="I150" s="308">
        <v>157.4</v>
      </c>
      <c r="J150" s="308">
        <v>785.4</v>
      </c>
      <c r="K150" s="308">
        <f t="shared" si="25"/>
        <v>1046.5</v>
      </c>
      <c r="L150" s="22">
        <f t="shared" si="26"/>
        <v>0.24949832775919734</v>
      </c>
    </row>
    <row r="151" spans="1:12" ht="14.4" x14ac:dyDescent="0.3">
      <c r="A151" s="263">
        <f t="shared" si="22"/>
        <v>2014</v>
      </c>
      <c r="B151" s="264" t="str">
        <f t="shared" si="23"/>
        <v>1</v>
      </c>
      <c r="C151" s="306">
        <f t="shared" si="24"/>
        <v>20141</v>
      </c>
      <c r="D151" s="240">
        <v>41699</v>
      </c>
      <c r="E151" s="313">
        <v>183.9</v>
      </c>
      <c r="F151" s="314">
        <v>117.6</v>
      </c>
      <c r="G151" s="314">
        <v>301.5</v>
      </c>
      <c r="H151" s="314">
        <v>606.5</v>
      </c>
      <c r="I151" s="314">
        <v>206.9</v>
      </c>
      <c r="J151" s="314">
        <v>813.3</v>
      </c>
      <c r="K151" s="314">
        <f t="shared" si="25"/>
        <v>1114.8</v>
      </c>
      <c r="L151" s="223">
        <f t="shared" si="26"/>
        <v>0.27045209903121636</v>
      </c>
    </row>
    <row r="152" spans="1:12" ht="14.4" x14ac:dyDescent="0.3">
      <c r="A152" s="263">
        <f t="shared" si="22"/>
        <v>2014</v>
      </c>
      <c r="B152" s="264" t="str">
        <f t="shared" si="23"/>
        <v>2</v>
      </c>
      <c r="C152" s="306">
        <f t="shared" si="24"/>
        <v>20142</v>
      </c>
      <c r="D152" s="240">
        <v>41791</v>
      </c>
      <c r="E152" s="307">
        <v>171.2</v>
      </c>
      <c r="F152" s="308">
        <v>280.5</v>
      </c>
      <c r="G152" s="308">
        <v>451.7</v>
      </c>
      <c r="H152" s="308">
        <v>852.9</v>
      </c>
      <c r="I152" s="308">
        <v>238.5</v>
      </c>
      <c r="J152" s="308">
        <v>1091.4000000000001</v>
      </c>
      <c r="K152" s="308">
        <f t="shared" si="25"/>
        <v>1543.1000000000001</v>
      </c>
      <c r="L152" s="22">
        <f t="shared" si="26"/>
        <v>0.29272244183785884</v>
      </c>
    </row>
    <row r="153" spans="1:12" ht="14.4" x14ac:dyDescent="0.3">
      <c r="A153" s="263">
        <f t="shared" si="22"/>
        <v>2014</v>
      </c>
      <c r="B153" s="264" t="str">
        <f t="shared" si="23"/>
        <v>3</v>
      </c>
      <c r="C153" s="306">
        <f t="shared" si="24"/>
        <v>20143</v>
      </c>
      <c r="D153" s="240">
        <v>41883</v>
      </c>
      <c r="E153" s="313">
        <v>172.7</v>
      </c>
      <c r="F153" s="314">
        <v>125</v>
      </c>
      <c r="G153" s="314">
        <v>297.7</v>
      </c>
      <c r="H153" s="314">
        <v>563.1</v>
      </c>
      <c r="I153" s="314">
        <v>119.8</v>
      </c>
      <c r="J153" s="314">
        <v>682.9</v>
      </c>
      <c r="K153" s="314">
        <f t="shared" si="25"/>
        <v>980.59999999999991</v>
      </c>
      <c r="L153" s="223">
        <f t="shared" si="26"/>
        <v>0.30358963899653274</v>
      </c>
    </row>
    <row r="154" spans="1:12" ht="14.4" x14ac:dyDescent="0.3">
      <c r="A154" s="263">
        <f t="shared" si="22"/>
        <v>2014</v>
      </c>
      <c r="B154" s="264" t="str">
        <f t="shared" si="23"/>
        <v>4</v>
      </c>
      <c r="C154" s="306">
        <f t="shared" si="24"/>
        <v>20144</v>
      </c>
      <c r="D154" s="240">
        <v>41974</v>
      </c>
      <c r="E154" s="307">
        <v>236.6</v>
      </c>
      <c r="F154" s="308">
        <v>139.80000000000001</v>
      </c>
      <c r="G154" s="308">
        <v>376.4</v>
      </c>
      <c r="H154" s="308">
        <v>595.6</v>
      </c>
      <c r="I154" s="308">
        <v>129.6</v>
      </c>
      <c r="J154" s="308">
        <v>725.2</v>
      </c>
      <c r="K154" s="308">
        <f t="shared" si="25"/>
        <v>1101.5999999999999</v>
      </c>
      <c r="L154" s="22">
        <f t="shared" si="26"/>
        <v>0.34168482207697892</v>
      </c>
    </row>
    <row r="155" spans="1:12" ht="14.4" x14ac:dyDescent="0.3">
      <c r="A155" s="263">
        <f t="shared" si="22"/>
        <v>2015</v>
      </c>
      <c r="B155" s="264" t="str">
        <f t="shared" si="23"/>
        <v>1</v>
      </c>
      <c r="C155" s="306">
        <f t="shared" si="24"/>
        <v>20151</v>
      </c>
      <c r="D155" s="240">
        <v>42064</v>
      </c>
      <c r="E155" s="313">
        <v>178.6</v>
      </c>
      <c r="F155" s="314">
        <v>124.4</v>
      </c>
      <c r="G155" s="314">
        <v>303</v>
      </c>
      <c r="H155" s="314">
        <v>511.1</v>
      </c>
      <c r="I155" s="314">
        <v>185.1</v>
      </c>
      <c r="J155" s="314">
        <v>696.2</v>
      </c>
      <c r="K155" s="314">
        <f t="shared" si="25"/>
        <v>999.2</v>
      </c>
      <c r="L155" s="223">
        <f t="shared" si="26"/>
        <v>0.30324259407526022</v>
      </c>
    </row>
    <row r="156" spans="1:12" ht="14.4" x14ac:dyDescent="0.3">
      <c r="A156" s="263">
        <f t="shared" si="22"/>
        <v>2015</v>
      </c>
      <c r="B156" s="264" t="str">
        <f t="shared" si="23"/>
        <v>2</v>
      </c>
      <c r="C156" s="306">
        <f t="shared" si="24"/>
        <v>20152</v>
      </c>
      <c r="D156" s="240">
        <v>42156</v>
      </c>
      <c r="E156" s="307">
        <v>173.8</v>
      </c>
      <c r="F156" s="308">
        <v>89.5</v>
      </c>
      <c r="G156" s="308">
        <v>263.3</v>
      </c>
      <c r="H156" s="308">
        <v>294.39999999999998</v>
      </c>
      <c r="I156" s="308">
        <v>147.9</v>
      </c>
      <c r="J156" s="308">
        <v>442.3</v>
      </c>
      <c r="K156" s="308">
        <f t="shared" si="25"/>
        <v>705.6</v>
      </c>
      <c r="L156" s="22">
        <f t="shared" si="26"/>
        <v>0.37315759637188212</v>
      </c>
    </row>
    <row r="157" spans="1:12" ht="14.4" x14ac:dyDescent="0.3">
      <c r="A157" s="263">
        <f t="shared" si="22"/>
        <v>2015</v>
      </c>
      <c r="B157" s="264" t="str">
        <f t="shared" si="23"/>
        <v>3</v>
      </c>
      <c r="C157" s="306">
        <f t="shared" si="24"/>
        <v>20153</v>
      </c>
      <c r="D157" s="240">
        <v>42248</v>
      </c>
      <c r="E157" s="313">
        <v>110.7</v>
      </c>
      <c r="F157" s="314">
        <v>89.2</v>
      </c>
      <c r="G157" s="314">
        <v>199.9</v>
      </c>
      <c r="H157" s="314">
        <v>249.8</v>
      </c>
      <c r="I157" s="314">
        <v>128.6</v>
      </c>
      <c r="J157" s="314">
        <v>378.3</v>
      </c>
      <c r="K157" s="314">
        <f t="shared" si="25"/>
        <v>578.20000000000005</v>
      </c>
      <c r="L157" s="223">
        <f t="shared" si="26"/>
        <v>0.34572812175717743</v>
      </c>
    </row>
    <row r="158" spans="1:12" ht="14.4" x14ac:dyDescent="0.3">
      <c r="A158" s="263">
        <f t="shared" si="22"/>
        <v>2015</v>
      </c>
      <c r="B158" s="264" t="str">
        <f t="shared" si="23"/>
        <v>4</v>
      </c>
      <c r="C158" s="306">
        <f t="shared" si="24"/>
        <v>20154</v>
      </c>
      <c r="D158" s="240">
        <v>42339</v>
      </c>
      <c r="E158" s="307">
        <v>58.3</v>
      </c>
      <c r="F158" s="308">
        <v>79.2</v>
      </c>
      <c r="G158" s="308">
        <v>137.5</v>
      </c>
      <c r="H158" s="308">
        <v>209.6</v>
      </c>
      <c r="I158" s="308">
        <v>113.3</v>
      </c>
      <c r="J158" s="308">
        <v>322.89999999999998</v>
      </c>
      <c r="K158" s="308">
        <f t="shared" si="25"/>
        <v>460.4</v>
      </c>
      <c r="L158" s="22">
        <f t="shared" si="26"/>
        <v>0.29865334491746309</v>
      </c>
    </row>
    <row r="159" spans="1:12" ht="14.4" x14ac:dyDescent="0.3">
      <c r="A159" s="263">
        <f t="shared" si="22"/>
        <v>2016</v>
      </c>
      <c r="B159" s="264" t="str">
        <f t="shared" si="23"/>
        <v>1</v>
      </c>
      <c r="C159" s="306">
        <f t="shared" si="24"/>
        <v>20161</v>
      </c>
      <c r="D159" s="240">
        <v>42430</v>
      </c>
      <c r="E159" s="313">
        <v>39.700000000000003</v>
      </c>
      <c r="F159" s="314">
        <v>47</v>
      </c>
      <c r="G159" s="314">
        <v>86.7</v>
      </c>
      <c r="H159" s="314">
        <v>284.2</v>
      </c>
      <c r="I159" s="314">
        <v>81.3</v>
      </c>
      <c r="J159" s="314">
        <v>365.5</v>
      </c>
      <c r="K159" s="314">
        <f t="shared" si="25"/>
        <v>452.2</v>
      </c>
      <c r="L159" s="223">
        <f t="shared" si="26"/>
        <v>0.19172932330827069</v>
      </c>
    </row>
    <row r="160" spans="1:12" ht="14.4" x14ac:dyDescent="0.3">
      <c r="A160" s="263">
        <f t="shared" si="22"/>
        <v>2016</v>
      </c>
      <c r="B160" s="264" t="str">
        <f t="shared" si="23"/>
        <v>2</v>
      </c>
      <c r="C160" s="306">
        <f t="shared" si="24"/>
        <v>20162</v>
      </c>
      <c r="D160" s="240">
        <v>42522</v>
      </c>
      <c r="E160" s="307">
        <v>31.7</v>
      </c>
      <c r="F160" s="308">
        <v>33.5</v>
      </c>
      <c r="G160" s="308">
        <v>65.2</v>
      </c>
      <c r="H160" s="308">
        <v>144.69999999999999</v>
      </c>
      <c r="I160" s="308">
        <v>74.3</v>
      </c>
      <c r="J160" s="308">
        <v>219</v>
      </c>
      <c r="K160" s="308">
        <f t="shared" si="25"/>
        <v>284.2</v>
      </c>
      <c r="L160" s="22">
        <f t="shared" si="26"/>
        <v>0.2294159042927516</v>
      </c>
    </row>
    <row r="161" spans="1:25" ht="14.4" x14ac:dyDescent="0.3">
      <c r="A161" s="263">
        <f t="shared" si="22"/>
        <v>2016</v>
      </c>
      <c r="B161" s="264" t="str">
        <f t="shared" si="23"/>
        <v>3</v>
      </c>
      <c r="C161" s="306">
        <f t="shared" si="24"/>
        <v>20163</v>
      </c>
      <c r="D161" s="240">
        <v>42614</v>
      </c>
      <c r="E161" s="313">
        <v>43.4</v>
      </c>
      <c r="F161" s="314">
        <v>53.4</v>
      </c>
      <c r="G161" s="314">
        <v>96.9</v>
      </c>
      <c r="H161" s="314">
        <v>129</v>
      </c>
      <c r="I161" s="314">
        <v>125</v>
      </c>
      <c r="J161" s="314">
        <v>253.9</v>
      </c>
      <c r="K161" s="314">
        <f t="shared" si="25"/>
        <v>350.8</v>
      </c>
      <c r="L161" s="223">
        <f t="shared" si="26"/>
        <v>0.27622576966932727</v>
      </c>
    </row>
    <row r="162" spans="1:25" ht="14.4" x14ac:dyDescent="0.3">
      <c r="A162" s="263">
        <f t="shared" si="22"/>
        <v>2016</v>
      </c>
      <c r="B162" s="264" t="str">
        <f t="shared" si="23"/>
        <v>4</v>
      </c>
      <c r="C162" s="306">
        <f t="shared" si="24"/>
        <v>20164</v>
      </c>
      <c r="D162" s="240">
        <v>42705</v>
      </c>
      <c r="E162" s="307">
        <v>41.9</v>
      </c>
      <c r="F162" s="308">
        <v>30.6</v>
      </c>
      <c r="G162" s="308">
        <v>72.5</v>
      </c>
      <c r="H162" s="308">
        <v>138.1</v>
      </c>
      <c r="I162" s="308">
        <v>105.9</v>
      </c>
      <c r="J162" s="308">
        <v>244.1</v>
      </c>
      <c r="K162" s="308">
        <f t="shared" si="25"/>
        <v>316.60000000000002</v>
      </c>
      <c r="L162" s="22">
        <f t="shared" si="26"/>
        <v>0.22899557801642451</v>
      </c>
    </row>
    <row r="163" spans="1:25" ht="14.4" x14ac:dyDescent="0.3">
      <c r="A163" s="263">
        <f t="shared" si="22"/>
        <v>2017</v>
      </c>
      <c r="B163" s="264" t="str">
        <f t="shared" si="23"/>
        <v>1</v>
      </c>
      <c r="C163" s="306">
        <f t="shared" si="24"/>
        <v>20171</v>
      </c>
      <c r="D163" s="240">
        <v>42795</v>
      </c>
      <c r="E163" s="313">
        <v>77.900000000000006</v>
      </c>
      <c r="F163" s="314">
        <v>68.3</v>
      </c>
      <c r="G163" s="314">
        <v>146.19999999999999</v>
      </c>
      <c r="H163" s="314">
        <v>149.80000000000001</v>
      </c>
      <c r="I163" s="314">
        <v>85.8</v>
      </c>
      <c r="J163" s="314">
        <v>235.7</v>
      </c>
      <c r="K163" s="314">
        <f t="shared" si="25"/>
        <v>381.9</v>
      </c>
      <c r="L163" s="223">
        <f t="shared" si="26"/>
        <v>0.3828227284629484</v>
      </c>
    </row>
    <row r="164" spans="1:25" ht="14.4" x14ac:dyDescent="0.3">
      <c r="A164" s="263">
        <f t="shared" si="22"/>
        <v>2017</v>
      </c>
      <c r="B164" s="264" t="str">
        <f t="shared" si="23"/>
        <v>2</v>
      </c>
      <c r="C164" s="306">
        <f t="shared" si="24"/>
        <v>20172</v>
      </c>
      <c r="D164" s="240">
        <v>42887</v>
      </c>
      <c r="E164" s="307">
        <v>81.400000000000006</v>
      </c>
      <c r="F164" s="308">
        <v>38.1</v>
      </c>
      <c r="G164" s="308">
        <v>119.4</v>
      </c>
      <c r="H164" s="308">
        <v>123.7</v>
      </c>
      <c r="I164" s="308">
        <v>88.6</v>
      </c>
      <c r="J164" s="308">
        <v>212.4</v>
      </c>
      <c r="K164" s="308">
        <f t="shared" si="25"/>
        <v>331.8</v>
      </c>
      <c r="L164" s="22">
        <f t="shared" si="26"/>
        <v>0.35985533453887886</v>
      </c>
    </row>
    <row r="165" spans="1:25" ht="14.4" x14ac:dyDescent="0.3">
      <c r="A165" s="263">
        <f t="shared" si="22"/>
        <v>2017</v>
      </c>
      <c r="B165" s="264" t="str">
        <f t="shared" si="23"/>
        <v>3</v>
      </c>
      <c r="C165" s="306">
        <f t="shared" si="24"/>
        <v>20173</v>
      </c>
      <c r="D165" s="240">
        <v>42979</v>
      </c>
      <c r="E165" s="313">
        <v>41.6</v>
      </c>
      <c r="F165" s="314">
        <v>51</v>
      </c>
      <c r="G165" s="314">
        <v>92.6</v>
      </c>
      <c r="H165" s="314">
        <v>90.8</v>
      </c>
      <c r="I165" s="314">
        <v>97.6</v>
      </c>
      <c r="J165" s="314">
        <v>188.3</v>
      </c>
      <c r="K165" s="314">
        <f t="shared" si="25"/>
        <v>280.89999999999998</v>
      </c>
      <c r="L165" s="223">
        <f t="shared" si="26"/>
        <v>0.32965468138127446</v>
      </c>
    </row>
    <row r="166" spans="1:25" ht="14.4" x14ac:dyDescent="0.3">
      <c r="A166" s="263">
        <f t="shared" si="22"/>
        <v>2017</v>
      </c>
      <c r="B166" s="264" t="str">
        <f t="shared" si="23"/>
        <v>4</v>
      </c>
      <c r="C166" s="306">
        <f t="shared" si="24"/>
        <v>20174</v>
      </c>
      <c r="D166" s="240">
        <v>43070</v>
      </c>
      <c r="E166" s="307">
        <v>43.8</v>
      </c>
      <c r="F166" s="308">
        <v>30.1</v>
      </c>
      <c r="G166" s="308">
        <v>73.900000000000006</v>
      </c>
      <c r="H166" s="308">
        <v>57.4</v>
      </c>
      <c r="I166" s="308">
        <v>94.5</v>
      </c>
      <c r="J166" s="308">
        <v>151.9</v>
      </c>
      <c r="K166" s="308">
        <f t="shared" si="25"/>
        <v>225.8</v>
      </c>
      <c r="L166" s="22">
        <f t="shared" si="26"/>
        <v>0.32728077945084144</v>
      </c>
    </row>
    <row r="167" spans="1:25" ht="14.4" x14ac:dyDescent="0.3">
      <c r="A167" s="263">
        <f t="shared" si="22"/>
        <v>2018</v>
      </c>
      <c r="B167" s="264" t="str">
        <f t="shared" si="23"/>
        <v>1</v>
      </c>
      <c r="C167" s="306">
        <f t="shared" si="24"/>
        <v>20181</v>
      </c>
      <c r="D167" s="240">
        <v>43160</v>
      </c>
      <c r="E167" s="313">
        <v>58.9</v>
      </c>
      <c r="F167" s="314">
        <v>26.5</v>
      </c>
      <c r="G167" s="314">
        <v>85.4</v>
      </c>
      <c r="H167" s="314">
        <v>36.5</v>
      </c>
      <c r="I167" s="314">
        <v>86.5</v>
      </c>
      <c r="J167" s="314">
        <v>123</v>
      </c>
      <c r="K167" s="314">
        <f t="shared" si="25"/>
        <v>208.4</v>
      </c>
      <c r="L167" s="223">
        <f t="shared" si="26"/>
        <v>0.40978886756238003</v>
      </c>
    </row>
    <row r="168" spans="1:25" ht="14.4" x14ac:dyDescent="0.3">
      <c r="A168" s="263">
        <f t="shared" si="22"/>
        <v>2018</v>
      </c>
      <c r="B168" s="264" t="str">
        <f t="shared" si="23"/>
        <v>2</v>
      </c>
      <c r="C168" s="306">
        <f t="shared" si="24"/>
        <v>20182</v>
      </c>
      <c r="D168" s="240">
        <v>43252</v>
      </c>
      <c r="E168" s="307">
        <v>62</v>
      </c>
      <c r="F168" s="308">
        <v>36.9</v>
      </c>
      <c r="G168" s="308">
        <v>99</v>
      </c>
      <c r="H168" s="308">
        <v>129.69999999999999</v>
      </c>
      <c r="I168" s="308">
        <v>80</v>
      </c>
      <c r="J168" s="308">
        <v>209.8</v>
      </c>
      <c r="K168" s="308">
        <f t="shared" si="25"/>
        <v>308.8</v>
      </c>
      <c r="L168" s="22">
        <f t="shared" si="26"/>
        <v>0.32059585492227977</v>
      </c>
      <c r="W168" s="14"/>
      <c r="X168" s="14"/>
      <c r="Y168" s="14"/>
    </row>
    <row r="169" spans="1:25" ht="14.4" x14ac:dyDescent="0.3">
      <c r="A169" s="263">
        <f t="shared" si="22"/>
        <v>2018</v>
      </c>
      <c r="B169" s="264" t="str">
        <f t="shared" si="23"/>
        <v>3</v>
      </c>
      <c r="C169" s="306">
        <f t="shared" si="24"/>
        <v>20183</v>
      </c>
      <c r="D169" s="240">
        <v>43344</v>
      </c>
      <c r="E169" s="313">
        <v>78.099999999999994</v>
      </c>
      <c r="F169" s="314">
        <v>22.1</v>
      </c>
      <c r="G169" s="314">
        <v>100.2</v>
      </c>
      <c r="H169" s="314">
        <v>103.8</v>
      </c>
      <c r="I169" s="314">
        <v>103.2</v>
      </c>
      <c r="J169" s="314">
        <v>207</v>
      </c>
      <c r="K169" s="314">
        <f t="shared" si="25"/>
        <v>307.2</v>
      </c>
      <c r="L169" s="223">
        <f t="shared" si="26"/>
        <v>0.326171875</v>
      </c>
      <c r="M169" s="257"/>
      <c r="N169" s="14"/>
      <c r="O169" s="14"/>
      <c r="P169" s="14"/>
      <c r="Q169" s="14"/>
      <c r="R169" s="14"/>
      <c r="S169" s="14"/>
      <c r="T169" s="14"/>
      <c r="U169" s="14"/>
      <c r="V169" s="14"/>
      <c r="W169" s="14"/>
      <c r="X169" s="14"/>
      <c r="Y169" s="14"/>
    </row>
    <row r="170" spans="1:25" ht="14.4" x14ac:dyDescent="0.3">
      <c r="A170" s="263">
        <f t="shared" si="22"/>
        <v>2018</v>
      </c>
      <c r="B170" s="264" t="str">
        <f t="shared" si="23"/>
        <v>4</v>
      </c>
      <c r="C170" s="306">
        <f t="shared" si="24"/>
        <v>20184</v>
      </c>
      <c r="D170" s="240">
        <v>43435</v>
      </c>
      <c r="E170" s="307">
        <v>79</v>
      </c>
      <c r="F170" s="308">
        <v>30.1</v>
      </c>
      <c r="G170" s="308">
        <v>109.1</v>
      </c>
      <c r="H170" s="308">
        <v>104.1</v>
      </c>
      <c r="I170" s="308">
        <v>102.3</v>
      </c>
      <c r="J170" s="308">
        <v>206.4</v>
      </c>
      <c r="K170" s="308">
        <f t="shared" si="25"/>
        <v>315.5</v>
      </c>
      <c r="L170" s="22">
        <f t="shared" si="26"/>
        <v>0.34580031695721075</v>
      </c>
      <c r="W170" s="14"/>
      <c r="X170" s="14"/>
      <c r="Y170" s="14"/>
    </row>
    <row r="171" spans="1:25" ht="14.4" x14ac:dyDescent="0.3">
      <c r="A171" s="263">
        <f t="shared" si="22"/>
        <v>2019</v>
      </c>
      <c r="B171" s="264" t="str">
        <f t="shared" si="23"/>
        <v>1</v>
      </c>
      <c r="C171" s="306">
        <f t="shared" si="24"/>
        <v>20191</v>
      </c>
      <c r="D171" s="240">
        <v>43525</v>
      </c>
      <c r="E171" s="313">
        <v>66.599999999999994</v>
      </c>
      <c r="F171" s="314">
        <v>42.7</v>
      </c>
      <c r="G171" s="314">
        <v>109.3</v>
      </c>
      <c r="H171" s="314">
        <v>82.6</v>
      </c>
      <c r="I171" s="314">
        <v>70.3</v>
      </c>
      <c r="J171" s="314">
        <v>152.9</v>
      </c>
      <c r="K171" s="314">
        <f t="shared" si="25"/>
        <v>262.2</v>
      </c>
      <c r="L171" s="223">
        <f t="shared" si="26"/>
        <v>0.41685736079328756</v>
      </c>
      <c r="M171" s="257"/>
      <c r="N171" s="14"/>
      <c r="O171" s="14"/>
      <c r="P171" s="14"/>
      <c r="Q171" s="14"/>
      <c r="R171" s="14"/>
      <c r="S171" s="14"/>
      <c r="T171" s="14"/>
      <c r="U171" s="14"/>
      <c r="V171" s="14"/>
      <c r="W171" s="14"/>
      <c r="X171" s="14"/>
      <c r="Y171" s="14"/>
    </row>
    <row r="172" spans="1:25" ht="14.4" x14ac:dyDescent="0.3">
      <c r="A172" s="263">
        <f t="shared" si="22"/>
        <v>2019</v>
      </c>
      <c r="B172" s="264" t="str">
        <f t="shared" si="23"/>
        <v>2</v>
      </c>
      <c r="C172" s="306">
        <f t="shared" si="24"/>
        <v>20192</v>
      </c>
      <c r="D172" s="240">
        <v>43617</v>
      </c>
      <c r="E172" s="307">
        <v>74.7</v>
      </c>
      <c r="F172" s="308">
        <v>46.2</v>
      </c>
      <c r="G172" s="308">
        <v>121</v>
      </c>
      <c r="H172" s="308">
        <v>106</v>
      </c>
      <c r="I172" s="308">
        <v>139.80000000000001</v>
      </c>
      <c r="J172" s="308">
        <v>245.8</v>
      </c>
      <c r="K172" s="308">
        <f t="shared" si="25"/>
        <v>366.8</v>
      </c>
      <c r="L172" s="22">
        <f t="shared" si="26"/>
        <v>0.32988004362050161</v>
      </c>
      <c r="M172" s="257"/>
      <c r="N172" s="14"/>
      <c r="O172" s="14"/>
      <c r="P172" s="14"/>
      <c r="Q172" s="14"/>
      <c r="R172" s="14"/>
      <c r="S172" s="14"/>
      <c r="T172" s="14"/>
      <c r="U172" s="14"/>
      <c r="V172" s="14"/>
      <c r="W172" s="14"/>
      <c r="X172" s="14"/>
      <c r="Y172" s="14"/>
    </row>
    <row r="173" spans="1:25" ht="14.4" x14ac:dyDescent="0.3">
      <c r="A173" s="263">
        <f t="shared" si="22"/>
        <v>2019</v>
      </c>
      <c r="B173" s="264" t="str">
        <f t="shared" si="23"/>
        <v>3</v>
      </c>
      <c r="C173" s="306">
        <f t="shared" si="24"/>
        <v>20193</v>
      </c>
      <c r="D173" s="240">
        <v>43709</v>
      </c>
      <c r="E173" s="313">
        <v>111.6</v>
      </c>
      <c r="F173" s="314">
        <v>35.5</v>
      </c>
      <c r="G173" s="314">
        <v>147.1</v>
      </c>
      <c r="H173" s="314">
        <v>123.4</v>
      </c>
      <c r="I173" s="314">
        <v>102.7</v>
      </c>
      <c r="J173" s="314">
        <v>226.1</v>
      </c>
      <c r="K173" s="314">
        <f t="shared" si="25"/>
        <v>373.2</v>
      </c>
      <c r="L173" s="223">
        <f t="shared" si="26"/>
        <v>0.39415862808145768</v>
      </c>
      <c r="M173" s="257"/>
      <c r="N173" s="14"/>
      <c r="O173" s="14"/>
      <c r="P173" s="14"/>
      <c r="Q173" s="14"/>
      <c r="R173" s="14"/>
      <c r="S173" s="14"/>
      <c r="T173" s="14"/>
      <c r="U173" s="14"/>
      <c r="V173" s="14"/>
      <c r="W173" s="14"/>
      <c r="X173" s="14"/>
      <c r="Y173" s="14"/>
    </row>
    <row r="174" spans="1:25" ht="14.4" x14ac:dyDescent="0.3">
      <c r="A174" s="263">
        <f t="shared" si="22"/>
        <v>2019</v>
      </c>
      <c r="B174" s="264" t="str">
        <f t="shared" si="23"/>
        <v>4</v>
      </c>
      <c r="C174" s="306">
        <f t="shared" si="24"/>
        <v>20194</v>
      </c>
      <c r="D174" s="240">
        <v>43800</v>
      </c>
      <c r="E174" s="307">
        <v>137.5</v>
      </c>
      <c r="F174" s="308">
        <v>64.3</v>
      </c>
      <c r="G174" s="308">
        <v>201.8</v>
      </c>
      <c r="H174" s="308">
        <v>74.5</v>
      </c>
      <c r="I174" s="308">
        <v>85.3</v>
      </c>
      <c r="J174" s="308">
        <v>159.80000000000001</v>
      </c>
      <c r="K174" s="308">
        <f t="shared" si="25"/>
        <v>361.6</v>
      </c>
      <c r="L174" s="22">
        <f t="shared" si="26"/>
        <v>0.55807522123893805</v>
      </c>
      <c r="M174" s="257"/>
      <c r="N174" s="14"/>
      <c r="O174" s="14"/>
      <c r="P174" s="14"/>
      <c r="Q174" s="14"/>
      <c r="R174" s="14"/>
      <c r="S174" s="14"/>
      <c r="T174" s="14"/>
      <c r="U174" s="14"/>
      <c r="V174" s="14"/>
      <c r="W174" s="14"/>
      <c r="X174" s="14"/>
      <c r="Y174" s="14"/>
    </row>
    <row r="175" spans="1:25" ht="14.4" x14ac:dyDescent="0.3">
      <c r="A175" s="263">
        <f t="shared" si="22"/>
        <v>2020</v>
      </c>
      <c r="B175" s="264" t="str">
        <f t="shared" si="23"/>
        <v>1</v>
      </c>
      <c r="C175" s="306">
        <f t="shared" si="24"/>
        <v>20201</v>
      </c>
      <c r="D175" s="240">
        <v>43891</v>
      </c>
      <c r="E175" s="313">
        <v>125.2</v>
      </c>
      <c r="F175" s="314">
        <v>34.799999999999997</v>
      </c>
      <c r="G175" s="313">
        <v>160</v>
      </c>
      <c r="H175" s="314">
        <v>34.1</v>
      </c>
      <c r="I175" s="313">
        <v>94.6</v>
      </c>
      <c r="J175" s="314">
        <v>128.6</v>
      </c>
      <c r="K175" s="313">
        <f t="shared" si="25"/>
        <v>288.60000000000002</v>
      </c>
      <c r="L175" s="223">
        <f t="shared" si="26"/>
        <v>0.55440055440055436</v>
      </c>
      <c r="M175" s="257"/>
      <c r="N175" s="14"/>
      <c r="O175" s="14"/>
      <c r="P175" s="14"/>
      <c r="Q175" s="14"/>
      <c r="R175" s="14"/>
      <c r="S175" s="14"/>
      <c r="T175" s="14"/>
      <c r="U175" s="14"/>
      <c r="V175" s="14"/>
      <c r="W175" s="14"/>
      <c r="X175" s="14"/>
      <c r="Y175" s="14"/>
    </row>
    <row r="176" spans="1:25" ht="14.4" x14ac:dyDescent="0.3">
      <c r="A176" s="263">
        <f>YEAR(D176)</f>
        <v>2020</v>
      </c>
      <c r="B176" s="264" t="str">
        <f>IF(MONTH(D176)&lt;4,"1",IF(MONTH(D176)&lt;7,"2",IF(MONTH(D176)&lt;10,"3","4")))</f>
        <v>2</v>
      </c>
      <c r="C176" s="306">
        <f t="shared" si="24"/>
        <v>20202</v>
      </c>
      <c r="D176" s="240">
        <v>43983</v>
      </c>
      <c r="E176" s="307">
        <v>99.6</v>
      </c>
      <c r="F176" s="308">
        <v>60.2</v>
      </c>
      <c r="G176" s="308">
        <v>159.80000000000001</v>
      </c>
      <c r="H176" s="308">
        <v>3.1</v>
      </c>
      <c r="I176" s="308">
        <v>69.7</v>
      </c>
      <c r="J176" s="308">
        <v>72.8</v>
      </c>
      <c r="K176" s="308">
        <f t="shared" si="25"/>
        <v>232.60000000000002</v>
      </c>
      <c r="L176" s="22">
        <f t="shared" si="26"/>
        <v>0.6870163370593293</v>
      </c>
      <c r="M176" s="257"/>
      <c r="N176" s="14"/>
      <c r="O176" s="14"/>
      <c r="P176" s="14"/>
      <c r="Q176" s="14"/>
      <c r="R176" s="14"/>
      <c r="S176" s="14"/>
      <c r="T176" s="14"/>
      <c r="U176" s="14"/>
      <c r="V176" s="14"/>
      <c r="W176" s="14"/>
      <c r="X176" s="14"/>
      <c r="Y176" s="14"/>
    </row>
    <row r="177" spans="1:29" ht="14.4" x14ac:dyDescent="0.3">
      <c r="A177" s="263">
        <f>YEAR(D177)</f>
        <v>2020</v>
      </c>
      <c r="B177" s="264" t="str">
        <f>IF(MONTH(D177)&lt;4,"1",IF(MONTH(D177)&lt;7,"2",IF(MONTH(D177)&lt;10,"3","4")))</f>
        <v>3</v>
      </c>
      <c r="C177" s="306">
        <f t="shared" si="24"/>
        <v>20203</v>
      </c>
      <c r="D177" s="240">
        <v>44075</v>
      </c>
      <c r="E177" s="313">
        <v>86.6</v>
      </c>
      <c r="F177" s="314">
        <v>66.599999999999994</v>
      </c>
      <c r="G177" s="313">
        <v>153.19999999999999</v>
      </c>
      <c r="H177" s="314">
        <v>1.9</v>
      </c>
      <c r="I177" s="313">
        <v>71.3</v>
      </c>
      <c r="J177" s="314">
        <v>73.3</v>
      </c>
      <c r="K177" s="314">
        <f t="shared" si="25"/>
        <v>226.5</v>
      </c>
      <c r="L177" s="223">
        <f t="shared" si="26"/>
        <v>0.67637969094922734</v>
      </c>
      <c r="M177" s="257"/>
      <c r="N177" s="14"/>
      <c r="O177" s="14"/>
      <c r="P177" s="14"/>
      <c r="Q177" s="14"/>
      <c r="R177" s="14"/>
      <c r="S177" s="14"/>
      <c r="T177" s="14"/>
      <c r="U177" s="14"/>
      <c r="V177" s="14"/>
      <c r="W177" s="14"/>
      <c r="X177" s="14"/>
      <c r="Y177" s="14"/>
    </row>
    <row r="178" spans="1:29" ht="14.4" x14ac:dyDescent="0.3">
      <c r="A178" s="263">
        <f>YEAR(D178)</f>
        <v>2020</v>
      </c>
      <c r="B178" s="264" t="str">
        <f>IF(MONTH(D178)&lt;4,"1",IF(MONTH(D178)&lt;7,"2",IF(MONTH(D178)&lt;10,"3","4")))</f>
        <v>4</v>
      </c>
      <c r="C178" s="306">
        <f t="shared" si="24"/>
        <v>20204</v>
      </c>
      <c r="D178" s="240">
        <v>44166</v>
      </c>
      <c r="E178" s="323">
        <v>74.7</v>
      </c>
      <c r="F178" s="324">
        <v>56.5</v>
      </c>
      <c r="G178" s="324">
        <v>131.19999999999999</v>
      </c>
      <c r="H178" s="324">
        <v>43.4</v>
      </c>
      <c r="I178" s="324">
        <v>77.3</v>
      </c>
      <c r="J178" s="324">
        <v>120.7</v>
      </c>
      <c r="K178" s="324">
        <f t="shared" si="25"/>
        <v>251.89999999999998</v>
      </c>
      <c r="L178" s="325">
        <f t="shared" si="26"/>
        <v>0.52084160381103617</v>
      </c>
      <c r="M178" s="257"/>
      <c r="N178" s="14"/>
      <c r="O178" s="14"/>
      <c r="P178" s="14"/>
      <c r="Q178" s="14"/>
      <c r="R178" s="14"/>
      <c r="S178" s="14"/>
      <c r="T178" s="14"/>
      <c r="U178" s="14"/>
      <c r="V178" s="14"/>
      <c r="W178" s="14"/>
      <c r="X178" s="14"/>
      <c r="Y178" s="14"/>
    </row>
    <row r="179" spans="1:29" ht="14.4" x14ac:dyDescent="0.3">
      <c r="A179" s="263">
        <f t="shared" ref="A179:A242" si="27">YEAR(D179)</f>
        <v>2021</v>
      </c>
      <c r="B179" s="264" t="str">
        <f t="shared" ref="B179:B242" si="28">IF(MONTH(D179)&lt;4,"1",IF(MONTH(D179)&lt;7,"2",IF(MONTH(D179)&lt;10,"3","4")))</f>
        <v>1</v>
      </c>
      <c r="C179" s="306">
        <f t="shared" si="24"/>
        <v>20211</v>
      </c>
      <c r="D179" s="240">
        <v>44256</v>
      </c>
      <c r="E179" s="313">
        <v>97.4</v>
      </c>
      <c r="F179" s="314">
        <v>60.1</v>
      </c>
      <c r="G179" s="314">
        <v>157.5</v>
      </c>
      <c r="H179" s="314">
        <v>6.8</v>
      </c>
      <c r="I179" s="314">
        <v>75.099999999999994</v>
      </c>
      <c r="J179" s="314">
        <v>81.8</v>
      </c>
      <c r="K179" s="314">
        <f t="shared" si="25"/>
        <v>239.3</v>
      </c>
      <c r="L179" s="223">
        <f>G179/K179</f>
        <v>0.65816966151274547</v>
      </c>
      <c r="M179" s="257"/>
      <c r="N179" s="14"/>
      <c r="O179" s="14"/>
      <c r="P179" s="14"/>
      <c r="Q179" s="14"/>
      <c r="R179" s="14"/>
      <c r="S179" s="14"/>
      <c r="T179" s="14"/>
      <c r="U179" s="14"/>
      <c r="V179" s="14"/>
      <c r="W179" s="14"/>
      <c r="X179" s="14"/>
      <c r="Y179" s="14"/>
    </row>
    <row r="180" spans="1:29" ht="14.4" x14ac:dyDescent="0.3">
      <c r="A180" s="263">
        <f t="shared" si="27"/>
        <v>2021</v>
      </c>
      <c r="B180" s="264" t="str">
        <f t="shared" si="28"/>
        <v>2</v>
      </c>
      <c r="C180" s="306">
        <f t="shared" si="24"/>
        <v>20212</v>
      </c>
      <c r="D180" s="240">
        <v>44348</v>
      </c>
      <c r="E180" s="323">
        <v>130.30000000000001</v>
      </c>
      <c r="F180" s="324">
        <v>57.3</v>
      </c>
      <c r="G180" s="324">
        <v>187.6</v>
      </c>
      <c r="H180" s="324">
        <v>28.1</v>
      </c>
      <c r="I180" s="324">
        <v>67</v>
      </c>
      <c r="J180" s="324">
        <v>95.1</v>
      </c>
      <c r="K180" s="324">
        <f t="shared" si="25"/>
        <v>282.7</v>
      </c>
      <c r="L180" s="325">
        <f t="shared" ref="L180:L190" si="29">G180/K180</f>
        <v>0.66360099044923948</v>
      </c>
      <c r="M180" s="257"/>
      <c r="N180" s="14"/>
      <c r="O180" s="14"/>
      <c r="P180" s="14"/>
      <c r="Q180" s="14"/>
      <c r="R180" s="14"/>
      <c r="S180" s="14"/>
      <c r="T180" s="14"/>
      <c r="U180" s="14"/>
      <c r="V180" s="14"/>
      <c r="W180" s="14"/>
      <c r="X180" s="14"/>
      <c r="Y180" s="14"/>
    </row>
    <row r="181" spans="1:29" ht="14.4" x14ac:dyDescent="0.3">
      <c r="A181" s="263">
        <f t="shared" si="27"/>
        <v>2021</v>
      </c>
      <c r="B181" s="264" t="str">
        <f t="shared" si="28"/>
        <v>3</v>
      </c>
      <c r="C181" s="306">
        <f t="shared" si="24"/>
        <v>20213</v>
      </c>
      <c r="D181" s="240">
        <v>44440</v>
      </c>
      <c r="E181" s="313">
        <v>107.3</v>
      </c>
      <c r="F181" s="314">
        <v>85.2</v>
      </c>
      <c r="G181" s="314">
        <v>192.5</v>
      </c>
      <c r="H181" s="314">
        <v>30.6</v>
      </c>
      <c r="I181" s="314">
        <v>75.400000000000006</v>
      </c>
      <c r="J181" s="314">
        <v>105.9</v>
      </c>
      <c r="K181" s="314">
        <f t="shared" si="25"/>
        <v>298.39999999999998</v>
      </c>
      <c r="L181" s="223">
        <f t="shared" si="29"/>
        <v>0.64510723860589814</v>
      </c>
      <c r="M181" s="257"/>
      <c r="N181" s="14"/>
      <c r="O181" s="14"/>
      <c r="P181" s="14"/>
      <c r="Q181" s="14"/>
      <c r="R181" s="14"/>
      <c r="S181" s="14"/>
      <c r="T181" s="14"/>
      <c r="U181" s="14"/>
      <c r="V181" s="14"/>
      <c r="W181" s="14"/>
      <c r="X181" s="14"/>
      <c r="Y181" s="14"/>
    </row>
    <row r="182" spans="1:29" ht="14.4" x14ac:dyDescent="0.3">
      <c r="A182" s="263">
        <f t="shared" si="27"/>
        <v>2021</v>
      </c>
      <c r="B182" s="264" t="str">
        <f t="shared" si="28"/>
        <v>4</v>
      </c>
      <c r="C182" s="306">
        <f t="shared" si="24"/>
        <v>20214</v>
      </c>
      <c r="D182" s="240">
        <v>44531</v>
      </c>
      <c r="E182" s="323">
        <v>143.5</v>
      </c>
      <c r="F182" s="324">
        <v>42.8</v>
      </c>
      <c r="G182" s="324">
        <v>186.3</v>
      </c>
      <c r="H182" s="324">
        <v>49.4</v>
      </c>
      <c r="I182" s="324">
        <v>66.2</v>
      </c>
      <c r="J182" s="324">
        <v>115.6</v>
      </c>
      <c r="K182" s="324">
        <f t="shared" si="25"/>
        <v>301.89999999999998</v>
      </c>
      <c r="L182" s="325">
        <f t="shared" si="29"/>
        <v>0.61709175223583979</v>
      </c>
      <c r="M182" s="257"/>
      <c r="N182" s="14"/>
      <c r="O182" s="14"/>
      <c r="P182" s="14"/>
      <c r="Q182" s="14"/>
      <c r="R182" s="14"/>
      <c r="S182" s="14"/>
      <c r="T182" s="14"/>
      <c r="U182" s="14"/>
      <c r="V182" s="14"/>
      <c r="W182" s="14"/>
      <c r="X182" s="14"/>
      <c r="Y182" s="14"/>
    </row>
    <row r="183" spans="1:29" ht="14.4" x14ac:dyDescent="0.3">
      <c r="A183" s="263">
        <f t="shared" si="27"/>
        <v>2022</v>
      </c>
      <c r="B183" s="264" t="str">
        <f t="shared" si="28"/>
        <v>1</v>
      </c>
      <c r="C183" s="306">
        <f t="shared" si="24"/>
        <v>20221</v>
      </c>
      <c r="D183" s="240">
        <v>44621</v>
      </c>
      <c r="E183" s="313">
        <v>100.5</v>
      </c>
      <c r="F183" s="314">
        <v>57.6</v>
      </c>
      <c r="G183" s="314">
        <v>158.1</v>
      </c>
      <c r="H183" s="314">
        <v>79.400000000000006</v>
      </c>
      <c r="I183" s="314">
        <v>56.4</v>
      </c>
      <c r="J183" s="314">
        <v>135.9</v>
      </c>
      <c r="K183" s="314">
        <f t="shared" si="25"/>
        <v>294</v>
      </c>
      <c r="L183" s="223">
        <f t="shared" si="29"/>
        <v>0.53775510204081634</v>
      </c>
      <c r="M183" s="257"/>
      <c r="N183" s="14"/>
      <c r="O183" s="14"/>
      <c r="P183" s="14"/>
      <c r="Q183" s="14"/>
      <c r="R183" s="14"/>
      <c r="S183" s="14"/>
      <c r="T183" s="14"/>
      <c r="U183" s="14"/>
      <c r="V183" s="14"/>
      <c r="W183" s="14"/>
      <c r="X183" s="14"/>
      <c r="Y183" s="14"/>
    </row>
    <row r="184" spans="1:29" ht="14.4" x14ac:dyDescent="0.3">
      <c r="A184" s="263">
        <f t="shared" si="27"/>
        <v>2022</v>
      </c>
      <c r="B184" s="264" t="str">
        <f t="shared" si="28"/>
        <v>2</v>
      </c>
      <c r="C184" s="306">
        <f t="shared" si="24"/>
        <v>20222</v>
      </c>
      <c r="D184" s="240">
        <v>44713</v>
      </c>
      <c r="E184" s="323">
        <v>90.6</v>
      </c>
      <c r="F184" s="324">
        <v>55</v>
      </c>
      <c r="G184" s="324">
        <v>145.6</v>
      </c>
      <c r="H184" s="324">
        <v>59.7</v>
      </c>
      <c r="I184" s="324">
        <v>48.6</v>
      </c>
      <c r="J184" s="324">
        <v>108.3</v>
      </c>
      <c r="K184" s="324">
        <f t="shared" si="25"/>
        <v>253.89999999999998</v>
      </c>
      <c r="L184" s="325">
        <f t="shared" si="29"/>
        <v>0.5734541157936196</v>
      </c>
      <c r="M184" s="257"/>
      <c r="N184" s="14"/>
      <c r="O184" s="14"/>
      <c r="P184" s="14"/>
      <c r="Q184" s="14"/>
      <c r="R184" s="14"/>
      <c r="S184" s="14"/>
      <c r="T184" s="14"/>
      <c r="U184" s="14"/>
      <c r="V184" s="14"/>
      <c r="W184" s="14"/>
      <c r="X184" s="14"/>
      <c r="Y184" s="14"/>
    </row>
    <row r="185" spans="1:29" ht="14.4" x14ac:dyDescent="0.3">
      <c r="A185" s="263">
        <f t="shared" si="27"/>
        <v>2022</v>
      </c>
      <c r="B185" s="264" t="str">
        <f t="shared" si="28"/>
        <v>3</v>
      </c>
      <c r="C185" s="306">
        <f t="shared" si="24"/>
        <v>20223</v>
      </c>
      <c r="D185" s="240">
        <v>44805</v>
      </c>
      <c r="E185" s="313">
        <v>103.4</v>
      </c>
      <c r="F185" s="314">
        <v>52.9</v>
      </c>
      <c r="G185" s="314">
        <v>156.30000000000001</v>
      </c>
      <c r="H185" s="314">
        <v>15.5</v>
      </c>
      <c r="I185" s="314">
        <v>54.3</v>
      </c>
      <c r="J185" s="314">
        <v>69.900000000000006</v>
      </c>
      <c r="K185" s="314">
        <f t="shared" si="25"/>
        <v>226.20000000000002</v>
      </c>
      <c r="L185" s="223">
        <f t="shared" si="29"/>
        <v>0.69098143236074272</v>
      </c>
      <c r="M185" s="257"/>
      <c r="N185" s="14"/>
      <c r="O185" s="14"/>
      <c r="P185" s="14"/>
      <c r="Q185" s="14"/>
      <c r="R185" s="14"/>
      <c r="S185" s="14"/>
      <c r="T185" s="14"/>
      <c r="U185" s="14"/>
      <c r="V185" s="14"/>
      <c r="W185" s="14"/>
      <c r="X185" s="14"/>
      <c r="Y185" s="14"/>
    </row>
    <row r="186" spans="1:29" ht="14.4" x14ac:dyDescent="0.3">
      <c r="A186" s="263">
        <f t="shared" si="27"/>
        <v>2022</v>
      </c>
      <c r="B186" s="264" t="str">
        <f t="shared" si="28"/>
        <v>4</v>
      </c>
      <c r="C186" s="306">
        <f t="shared" si="24"/>
        <v>20224</v>
      </c>
      <c r="D186" s="240">
        <v>44896</v>
      </c>
      <c r="E186" s="323">
        <v>75.5</v>
      </c>
      <c r="F186" s="324">
        <v>62.5</v>
      </c>
      <c r="G186" s="324">
        <v>138</v>
      </c>
      <c r="H186" s="324">
        <v>16.399999999999999</v>
      </c>
      <c r="I186" s="324">
        <v>56.1</v>
      </c>
      <c r="J186" s="324">
        <v>72.5</v>
      </c>
      <c r="K186" s="324">
        <f t="shared" si="25"/>
        <v>210.5</v>
      </c>
      <c r="L186" s="325">
        <f t="shared" si="29"/>
        <v>0.6555819477434679</v>
      </c>
      <c r="M186" s="257"/>
      <c r="N186" s="14"/>
      <c r="O186" s="14"/>
      <c r="P186" s="14"/>
      <c r="Q186" s="14"/>
      <c r="R186" s="14"/>
      <c r="S186" s="14"/>
      <c r="T186" s="14"/>
      <c r="U186" s="14"/>
      <c r="V186" s="14"/>
      <c r="W186" s="14"/>
      <c r="X186" s="14"/>
      <c r="Y186" s="14"/>
    </row>
    <row r="187" spans="1:29" ht="14.4" x14ac:dyDescent="0.3">
      <c r="A187" s="263">
        <f t="shared" si="27"/>
        <v>2023</v>
      </c>
      <c r="B187" s="264" t="str">
        <f t="shared" si="28"/>
        <v>1</v>
      </c>
      <c r="C187" s="306">
        <f t="shared" si="24"/>
        <v>20231</v>
      </c>
      <c r="D187" s="240">
        <v>44986</v>
      </c>
      <c r="E187" s="313">
        <v>80.8</v>
      </c>
      <c r="F187" s="314">
        <v>66.900000000000006</v>
      </c>
      <c r="G187" s="314">
        <v>147.69999999999999</v>
      </c>
      <c r="H187" s="314">
        <v>22.5</v>
      </c>
      <c r="I187" s="314">
        <v>63.3</v>
      </c>
      <c r="J187" s="314">
        <v>85.7</v>
      </c>
      <c r="K187" s="314">
        <f t="shared" si="25"/>
        <v>233.39999999999998</v>
      </c>
      <c r="L187" s="223">
        <f t="shared" si="29"/>
        <v>0.63281919451585267</v>
      </c>
      <c r="M187" s="257"/>
      <c r="N187" s="14"/>
      <c r="O187" s="14"/>
      <c r="P187" s="14"/>
      <c r="Q187" s="14"/>
      <c r="R187" s="14"/>
      <c r="S187" s="14"/>
      <c r="T187" s="14"/>
      <c r="U187" s="14"/>
      <c r="V187" s="14"/>
      <c r="W187" s="14"/>
      <c r="X187" s="14"/>
      <c r="Y187" s="14"/>
    </row>
    <row r="188" spans="1:29" ht="14.4" x14ac:dyDescent="0.3">
      <c r="A188" s="263">
        <f t="shared" si="27"/>
        <v>2023</v>
      </c>
      <c r="B188" s="264" t="str">
        <f t="shared" si="28"/>
        <v>2</v>
      </c>
      <c r="C188" s="306">
        <f t="shared" si="24"/>
        <v>20232</v>
      </c>
      <c r="D188" s="240">
        <v>45078</v>
      </c>
      <c r="E188" s="323">
        <v>85.3</v>
      </c>
      <c r="F188" s="324">
        <v>69.400000000000006</v>
      </c>
      <c r="G188" s="324">
        <v>154.69999999999999</v>
      </c>
      <c r="H188" s="324">
        <v>39.799999999999997</v>
      </c>
      <c r="I188" s="324">
        <v>50.1</v>
      </c>
      <c r="J188" s="324">
        <v>89.9</v>
      </c>
      <c r="K188" s="324">
        <f t="shared" si="25"/>
        <v>244.6</v>
      </c>
      <c r="L188" s="325">
        <f t="shared" si="29"/>
        <v>0.63246116107931316</v>
      </c>
      <c r="M188" s="257"/>
      <c r="N188" s="14"/>
      <c r="O188" s="14"/>
      <c r="P188" s="14"/>
      <c r="Q188" s="14"/>
      <c r="R188" s="14"/>
      <c r="S188" s="14"/>
      <c r="T188" s="14"/>
      <c r="U188" s="14"/>
      <c r="V188" s="14"/>
      <c r="W188" s="14"/>
      <c r="X188" s="14"/>
      <c r="Y188" s="14"/>
    </row>
    <row r="189" spans="1:29" ht="14.4" x14ac:dyDescent="0.3">
      <c r="A189" s="263">
        <f t="shared" si="27"/>
        <v>2023</v>
      </c>
      <c r="B189" s="264" t="str">
        <f t="shared" si="28"/>
        <v>3</v>
      </c>
      <c r="C189" s="306">
        <f t="shared" si="24"/>
        <v>20233</v>
      </c>
      <c r="D189" s="240">
        <v>45170</v>
      </c>
      <c r="E189" s="313">
        <v>110.7</v>
      </c>
      <c r="F189" s="314">
        <v>70.400000000000006</v>
      </c>
      <c r="G189" s="314">
        <v>181</v>
      </c>
      <c r="H189" s="314">
        <v>79.3</v>
      </c>
      <c r="I189" s="314">
        <v>67.2</v>
      </c>
      <c r="J189" s="314">
        <v>146.5</v>
      </c>
      <c r="K189" s="314">
        <f t="shared" si="25"/>
        <v>327.5</v>
      </c>
      <c r="L189" s="223">
        <f t="shared" si="29"/>
        <v>0.55267175572519089</v>
      </c>
      <c r="M189" s="257"/>
      <c r="N189" s="14"/>
      <c r="O189" s="14"/>
      <c r="P189" s="14"/>
      <c r="Q189" s="14"/>
      <c r="R189" s="14"/>
      <c r="S189" s="14"/>
      <c r="T189" s="14"/>
      <c r="U189" s="14"/>
      <c r="V189" s="14"/>
      <c r="W189" s="650"/>
      <c r="X189" s="650"/>
      <c r="Y189" s="650"/>
      <c r="Z189" s="650"/>
      <c r="AA189" s="650"/>
      <c r="AB189" s="650"/>
      <c r="AC189" s="650"/>
    </row>
    <row r="190" spans="1:29" ht="14.4" x14ac:dyDescent="0.3">
      <c r="A190" s="263">
        <f t="shared" si="27"/>
        <v>2023</v>
      </c>
      <c r="B190" s="264" t="str">
        <f t="shared" si="28"/>
        <v>4</v>
      </c>
      <c r="C190" s="306">
        <f t="shared" si="24"/>
        <v>20234</v>
      </c>
      <c r="D190" s="240">
        <v>45261</v>
      </c>
      <c r="E190" s="323">
        <v>94.2</v>
      </c>
      <c r="F190" s="324">
        <v>80.099999999999994</v>
      </c>
      <c r="G190" s="324">
        <v>174.4</v>
      </c>
      <c r="H190" s="324">
        <v>22.9</v>
      </c>
      <c r="I190" s="324">
        <v>56.2</v>
      </c>
      <c r="J190" s="324">
        <v>79.099999999999994</v>
      </c>
      <c r="K190" s="324">
        <f t="shared" si="25"/>
        <v>253.5</v>
      </c>
      <c r="L190" s="325">
        <f t="shared" si="29"/>
        <v>0.68796844181459571</v>
      </c>
    </row>
    <row r="191" spans="1:29" ht="14.4" x14ac:dyDescent="0.3">
      <c r="A191" s="263">
        <f t="shared" si="27"/>
        <v>2024</v>
      </c>
      <c r="B191" s="264" t="str">
        <f t="shared" si="28"/>
        <v>1</v>
      </c>
      <c r="C191" s="306">
        <f t="shared" si="24"/>
        <v>20241</v>
      </c>
      <c r="D191" s="240">
        <v>45352</v>
      </c>
      <c r="E191" s="313">
        <v>151.6</v>
      </c>
      <c r="F191" s="314">
        <v>80.599999999999994</v>
      </c>
      <c r="G191" s="314">
        <v>232.2</v>
      </c>
      <c r="H191" s="314">
        <v>87.5</v>
      </c>
      <c r="I191" s="314">
        <v>56.7</v>
      </c>
      <c r="J191" s="314">
        <v>144.30000000000001</v>
      </c>
      <c r="K191" s="314">
        <f t="shared" ref="K191:K192" si="30">SUM(J191,G191)</f>
        <v>376.5</v>
      </c>
      <c r="L191" s="223">
        <f t="shared" ref="L191:L192" si="31">G191/K191</f>
        <v>0.61673306772908365</v>
      </c>
    </row>
    <row r="192" spans="1:29" ht="15" thickBot="1" x14ac:dyDescent="0.35">
      <c r="A192" s="263">
        <f t="shared" si="27"/>
        <v>2024</v>
      </c>
      <c r="B192" s="264" t="str">
        <f t="shared" si="28"/>
        <v>2</v>
      </c>
      <c r="C192" s="306">
        <f t="shared" si="24"/>
        <v>20242</v>
      </c>
      <c r="D192" s="249">
        <v>45444</v>
      </c>
      <c r="E192" s="326">
        <v>135.30000000000001</v>
      </c>
      <c r="F192" s="327">
        <v>81.8</v>
      </c>
      <c r="G192" s="327">
        <v>217.1</v>
      </c>
      <c r="H192" s="327">
        <v>29.9</v>
      </c>
      <c r="I192" s="327">
        <v>67</v>
      </c>
      <c r="J192" s="327">
        <v>96.9</v>
      </c>
      <c r="K192" s="327">
        <f t="shared" si="30"/>
        <v>314</v>
      </c>
      <c r="L192" s="328">
        <f t="shared" si="31"/>
        <v>0.69140127388535033</v>
      </c>
    </row>
    <row r="193" spans="1:9" x14ac:dyDescent="0.2">
      <c r="A193" s="263">
        <f t="shared" si="27"/>
        <v>1900</v>
      </c>
      <c r="B193" s="264" t="str">
        <f t="shared" si="28"/>
        <v>1</v>
      </c>
      <c r="C193" s="306">
        <f t="shared" si="24"/>
        <v>19001</v>
      </c>
    </row>
    <row r="194" spans="1:9" x14ac:dyDescent="0.2">
      <c r="A194" s="263">
        <f t="shared" si="27"/>
        <v>1900</v>
      </c>
      <c r="B194" s="264" t="str">
        <f t="shared" si="28"/>
        <v>1</v>
      </c>
      <c r="C194" s="306">
        <f t="shared" si="24"/>
        <v>19001</v>
      </c>
      <c r="E194" s="329"/>
      <c r="F194" s="329"/>
      <c r="G194" s="329"/>
      <c r="H194" s="329"/>
      <c r="I194" s="329"/>
    </row>
    <row r="195" spans="1:9" x14ac:dyDescent="0.2">
      <c r="A195" s="263">
        <f t="shared" si="27"/>
        <v>1900</v>
      </c>
      <c r="B195" s="264" t="str">
        <f t="shared" si="28"/>
        <v>1</v>
      </c>
      <c r="C195" s="306">
        <f t="shared" si="24"/>
        <v>19001</v>
      </c>
      <c r="E195" s="329"/>
      <c r="F195" s="329"/>
      <c r="G195" s="329"/>
      <c r="H195" s="329"/>
      <c r="I195" s="329"/>
    </row>
    <row r="196" spans="1:9" x14ac:dyDescent="0.2">
      <c r="A196" s="263">
        <f t="shared" si="27"/>
        <v>1900</v>
      </c>
      <c r="B196" s="264" t="str">
        <f t="shared" si="28"/>
        <v>1</v>
      </c>
      <c r="C196" s="306">
        <f t="shared" si="24"/>
        <v>19001</v>
      </c>
      <c r="E196" s="329"/>
      <c r="F196" s="329"/>
      <c r="G196" s="329"/>
      <c r="H196" s="329"/>
      <c r="I196" s="329"/>
    </row>
    <row r="197" spans="1:9" x14ac:dyDescent="0.2">
      <c r="A197" s="263">
        <f t="shared" si="27"/>
        <v>1900</v>
      </c>
      <c r="B197" s="264" t="str">
        <f t="shared" si="28"/>
        <v>1</v>
      </c>
      <c r="C197" s="306">
        <f t="shared" si="24"/>
        <v>19001</v>
      </c>
      <c r="E197" s="329"/>
      <c r="F197" s="329"/>
      <c r="G197" s="329"/>
      <c r="H197" s="329"/>
      <c r="I197" s="329"/>
    </row>
    <row r="198" spans="1:9" x14ac:dyDescent="0.2">
      <c r="A198" s="263">
        <f t="shared" si="27"/>
        <v>1900</v>
      </c>
      <c r="B198" s="264" t="str">
        <f t="shared" si="28"/>
        <v>1</v>
      </c>
      <c r="C198" s="306">
        <f t="shared" si="24"/>
        <v>19001</v>
      </c>
      <c r="E198" s="329"/>
      <c r="F198" s="329"/>
      <c r="G198" s="329"/>
      <c r="H198" s="329"/>
      <c r="I198" s="329"/>
    </row>
    <row r="199" spans="1:9" x14ac:dyDescent="0.2">
      <c r="A199" s="263">
        <f t="shared" si="27"/>
        <v>1900</v>
      </c>
      <c r="B199" s="264" t="str">
        <f t="shared" si="28"/>
        <v>1</v>
      </c>
      <c r="C199" s="306">
        <f t="shared" si="24"/>
        <v>19001</v>
      </c>
      <c r="E199" s="329"/>
      <c r="F199" s="329"/>
      <c r="G199" s="329"/>
      <c r="H199" s="329"/>
      <c r="I199" s="329"/>
    </row>
    <row r="200" spans="1:9" x14ac:dyDescent="0.2">
      <c r="A200" s="263">
        <f t="shared" si="27"/>
        <v>1900</v>
      </c>
      <c r="B200" s="264" t="str">
        <f t="shared" si="28"/>
        <v>1</v>
      </c>
      <c r="C200" s="306">
        <f t="shared" si="24"/>
        <v>19001</v>
      </c>
      <c r="E200" s="329"/>
      <c r="F200" s="329"/>
      <c r="G200" s="329"/>
      <c r="H200" s="329"/>
      <c r="I200" s="329"/>
    </row>
    <row r="201" spans="1:9" x14ac:dyDescent="0.2">
      <c r="A201" s="263">
        <f t="shared" si="27"/>
        <v>1900</v>
      </c>
      <c r="B201" s="264" t="str">
        <f t="shared" si="28"/>
        <v>1</v>
      </c>
      <c r="C201" s="306">
        <f t="shared" ref="C201:C264" si="32">_xlfn.NUMBERVALUE(CONCATENATE(A201,B201))</f>
        <v>19001</v>
      </c>
      <c r="E201" s="329"/>
      <c r="F201" s="329"/>
      <c r="G201" s="329"/>
      <c r="H201" s="329"/>
      <c r="I201" s="329"/>
    </row>
    <row r="202" spans="1:9" x14ac:dyDescent="0.2">
      <c r="A202" s="263">
        <f t="shared" si="27"/>
        <v>1900</v>
      </c>
      <c r="B202" s="264" t="str">
        <f t="shared" si="28"/>
        <v>1</v>
      </c>
      <c r="C202" s="306">
        <f t="shared" si="32"/>
        <v>19001</v>
      </c>
      <c r="E202" s="329"/>
      <c r="F202" s="329"/>
      <c r="G202" s="329"/>
      <c r="H202" s="329"/>
      <c r="I202" s="329"/>
    </row>
    <row r="203" spans="1:9" x14ac:dyDescent="0.2">
      <c r="A203" s="263">
        <f t="shared" si="27"/>
        <v>1900</v>
      </c>
      <c r="B203" s="264" t="str">
        <f t="shared" si="28"/>
        <v>1</v>
      </c>
      <c r="C203" s="306">
        <f t="shared" si="32"/>
        <v>19001</v>
      </c>
      <c r="E203" s="329"/>
      <c r="F203" s="329"/>
      <c r="G203" s="329"/>
      <c r="H203" s="329"/>
      <c r="I203" s="329"/>
    </row>
    <row r="204" spans="1:9" x14ac:dyDescent="0.2">
      <c r="A204" s="263">
        <f t="shared" si="27"/>
        <v>1900</v>
      </c>
      <c r="B204" s="264" t="str">
        <f t="shared" si="28"/>
        <v>1</v>
      </c>
      <c r="C204" s="306">
        <f t="shared" si="32"/>
        <v>19001</v>
      </c>
      <c r="E204" s="329"/>
      <c r="F204" s="329"/>
      <c r="G204" s="329"/>
      <c r="H204" s="329"/>
      <c r="I204" s="329"/>
    </row>
    <row r="205" spans="1:9" x14ac:dyDescent="0.2">
      <c r="A205" s="263">
        <f t="shared" si="27"/>
        <v>1900</v>
      </c>
      <c r="B205" s="264" t="str">
        <f t="shared" si="28"/>
        <v>1</v>
      </c>
      <c r="C205" s="306">
        <f t="shared" si="32"/>
        <v>19001</v>
      </c>
      <c r="E205" s="329"/>
      <c r="F205" s="329"/>
      <c r="G205" s="329"/>
      <c r="H205" s="329"/>
      <c r="I205" s="329"/>
    </row>
    <row r="206" spans="1:9" x14ac:dyDescent="0.2">
      <c r="A206" s="263">
        <f t="shared" si="27"/>
        <v>1900</v>
      </c>
      <c r="B206" s="264" t="str">
        <f t="shared" si="28"/>
        <v>1</v>
      </c>
      <c r="C206" s="306">
        <f t="shared" si="32"/>
        <v>19001</v>
      </c>
      <c r="E206" s="329"/>
      <c r="F206" s="329"/>
      <c r="G206" s="329"/>
      <c r="H206" s="329"/>
      <c r="I206" s="329"/>
    </row>
    <row r="207" spans="1:9" x14ac:dyDescent="0.2">
      <c r="A207" s="263">
        <f t="shared" si="27"/>
        <v>1900</v>
      </c>
      <c r="B207" s="264" t="str">
        <f t="shared" si="28"/>
        <v>1</v>
      </c>
      <c r="C207" s="306">
        <f t="shared" si="32"/>
        <v>19001</v>
      </c>
      <c r="E207" s="329"/>
      <c r="F207" s="329"/>
      <c r="G207" s="329"/>
      <c r="H207" s="329"/>
      <c r="I207" s="329"/>
    </row>
    <row r="208" spans="1:9" x14ac:dyDescent="0.2">
      <c r="A208" s="263">
        <f t="shared" si="27"/>
        <v>1900</v>
      </c>
      <c r="B208" s="264" t="str">
        <f t="shared" si="28"/>
        <v>1</v>
      </c>
      <c r="C208" s="306">
        <f t="shared" si="32"/>
        <v>19001</v>
      </c>
      <c r="E208" s="329"/>
      <c r="F208" s="329"/>
      <c r="G208" s="329"/>
      <c r="H208" s="329"/>
      <c r="I208" s="329"/>
    </row>
    <row r="209" spans="1:9" x14ac:dyDescent="0.2">
      <c r="A209" s="263">
        <f t="shared" si="27"/>
        <v>1900</v>
      </c>
      <c r="B209" s="264" t="str">
        <f t="shared" si="28"/>
        <v>1</v>
      </c>
      <c r="C209" s="306">
        <f t="shared" si="32"/>
        <v>19001</v>
      </c>
      <c r="E209" s="329"/>
      <c r="F209" s="329"/>
      <c r="G209" s="329"/>
      <c r="H209" s="329"/>
      <c r="I209" s="329"/>
    </row>
    <row r="210" spans="1:9" x14ac:dyDescent="0.2">
      <c r="A210" s="263">
        <f t="shared" si="27"/>
        <v>1900</v>
      </c>
      <c r="B210" s="264" t="str">
        <f t="shared" si="28"/>
        <v>1</v>
      </c>
      <c r="C210" s="306">
        <f t="shared" si="32"/>
        <v>19001</v>
      </c>
      <c r="E210" s="329"/>
      <c r="F210" s="329"/>
      <c r="G210" s="329"/>
      <c r="H210" s="329"/>
      <c r="I210" s="329"/>
    </row>
    <row r="211" spans="1:9" x14ac:dyDescent="0.2">
      <c r="A211" s="263">
        <f t="shared" si="27"/>
        <v>1900</v>
      </c>
      <c r="B211" s="264" t="str">
        <f t="shared" si="28"/>
        <v>1</v>
      </c>
      <c r="C211" s="306">
        <f t="shared" si="32"/>
        <v>19001</v>
      </c>
      <c r="E211" s="329"/>
      <c r="F211" s="329"/>
      <c r="G211" s="329"/>
      <c r="H211" s="329"/>
      <c r="I211" s="329"/>
    </row>
    <row r="212" spans="1:9" x14ac:dyDescent="0.2">
      <c r="A212" s="263">
        <f t="shared" si="27"/>
        <v>1900</v>
      </c>
      <c r="B212" s="264" t="str">
        <f t="shared" si="28"/>
        <v>1</v>
      </c>
      <c r="C212" s="306">
        <f t="shared" si="32"/>
        <v>19001</v>
      </c>
      <c r="E212" s="329"/>
      <c r="F212" s="329"/>
      <c r="G212" s="329"/>
      <c r="H212" s="329"/>
      <c r="I212" s="329"/>
    </row>
    <row r="213" spans="1:9" x14ac:dyDescent="0.2">
      <c r="A213" s="263">
        <f t="shared" si="27"/>
        <v>1900</v>
      </c>
      <c r="B213" s="264" t="str">
        <f t="shared" si="28"/>
        <v>1</v>
      </c>
      <c r="C213" s="306">
        <f t="shared" si="32"/>
        <v>19001</v>
      </c>
      <c r="E213" s="329"/>
      <c r="F213" s="329"/>
      <c r="G213" s="329"/>
      <c r="H213" s="329"/>
      <c r="I213" s="329"/>
    </row>
    <row r="214" spans="1:9" x14ac:dyDescent="0.2">
      <c r="A214" s="263">
        <f t="shared" si="27"/>
        <v>1900</v>
      </c>
      <c r="B214" s="264" t="str">
        <f t="shared" si="28"/>
        <v>1</v>
      </c>
      <c r="C214" s="306">
        <f t="shared" si="32"/>
        <v>19001</v>
      </c>
      <c r="E214" s="329"/>
      <c r="F214" s="329"/>
      <c r="G214" s="329"/>
      <c r="H214" s="329"/>
      <c r="I214" s="329"/>
    </row>
    <row r="215" spans="1:9" x14ac:dyDescent="0.2">
      <c r="A215" s="263">
        <f t="shared" si="27"/>
        <v>1900</v>
      </c>
      <c r="B215" s="264" t="str">
        <f t="shared" si="28"/>
        <v>1</v>
      </c>
      <c r="C215" s="306">
        <f t="shared" si="32"/>
        <v>19001</v>
      </c>
    </row>
    <row r="216" spans="1:9" x14ac:dyDescent="0.2">
      <c r="A216" s="263">
        <f t="shared" si="27"/>
        <v>1900</v>
      </c>
      <c r="B216" s="264" t="str">
        <f t="shared" si="28"/>
        <v>1</v>
      </c>
      <c r="C216" s="306">
        <f t="shared" si="32"/>
        <v>19001</v>
      </c>
      <c r="E216" s="330"/>
      <c r="F216" s="330"/>
      <c r="H216" s="330"/>
      <c r="I216" s="330"/>
    </row>
    <row r="217" spans="1:9" x14ac:dyDescent="0.2">
      <c r="A217" s="263">
        <f t="shared" si="27"/>
        <v>1900</v>
      </c>
      <c r="B217" s="264" t="str">
        <f t="shared" si="28"/>
        <v>1</v>
      </c>
      <c r="C217" s="306">
        <f t="shared" si="32"/>
        <v>19001</v>
      </c>
    </row>
    <row r="218" spans="1:9" x14ac:dyDescent="0.2">
      <c r="A218" s="263">
        <f t="shared" si="27"/>
        <v>1900</v>
      </c>
      <c r="B218" s="264" t="str">
        <f t="shared" si="28"/>
        <v>1</v>
      </c>
      <c r="C218" s="306">
        <f t="shared" si="32"/>
        <v>19001</v>
      </c>
    </row>
    <row r="219" spans="1:9" x14ac:dyDescent="0.2">
      <c r="A219" s="263">
        <f t="shared" si="27"/>
        <v>1900</v>
      </c>
      <c r="B219" s="264" t="str">
        <f t="shared" si="28"/>
        <v>1</v>
      </c>
      <c r="C219" s="306">
        <f t="shared" si="32"/>
        <v>19001</v>
      </c>
    </row>
    <row r="220" spans="1:9" x14ac:dyDescent="0.2">
      <c r="A220" s="263">
        <f t="shared" si="27"/>
        <v>1900</v>
      </c>
      <c r="B220" s="264" t="str">
        <f t="shared" si="28"/>
        <v>1</v>
      </c>
      <c r="C220" s="306">
        <f t="shared" si="32"/>
        <v>19001</v>
      </c>
    </row>
    <row r="221" spans="1:9" x14ac:dyDescent="0.2">
      <c r="A221" s="263">
        <f t="shared" si="27"/>
        <v>1900</v>
      </c>
      <c r="B221" s="264" t="str">
        <f t="shared" si="28"/>
        <v>1</v>
      </c>
      <c r="C221" s="306">
        <f t="shared" si="32"/>
        <v>19001</v>
      </c>
    </row>
    <row r="222" spans="1:9" x14ac:dyDescent="0.2">
      <c r="A222" s="263">
        <f t="shared" si="27"/>
        <v>1900</v>
      </c>
      <c r="B222" s="264" t="str">
        <f t="shared" si="28"/>
        <v>1</v>
      </c>
      <c r="C222" s="306">
        <f t="shared" si="32"/>
        <v>19001</v>
      </c>
    </row>
    <row r="223" spans="1:9" x14ac:dyDescent="0.2">
      <c r="A223" s="263">
        <f t="shared" si="27"/>
        <v>1900</v>
      </c>
      <c r="B223" s="264" t="str">
        <f t="shared" si="28"/>
        <v>1</v>
      </c>
      <c r="C223" s="306">
        <f t="shared" si="32"/>
        <v>19001</v>
      </c>
    </row>
    <row r="224" spans="1:9" x14ac:dyDescent="0.2">
      <c r="A224" s="263">
        <f t="shared" si="27"/>
        <v>1900</v>
      </c>
      <c r="B224" s="264" t="str">
        <f t="shared" si="28"/>
        <v>1</v>
      </c>
      <c r="C224" s="306">
        <f t="shared" si="32"/>
        <v>19001</v>
      </c>
    </row>
    <row r="225" spans="1:3" x14ac:dyDescent="0.2">
      <c r="A225" s="263">
        <f t="shared" si="27"/>
        <v>1900</v>
      </c>
      <c r="B225" s="264" t="str">
        <f t="shared" si="28"/>
        <v>1</v>
      </c>
      <c r="C225" s="306">
        <f t="shared" si="32"/>
        <v>19001</v>
      </c>
    </row>
    <row r="226" spans="1:3" x14ac:dyDescent="0.2">
      <c r="A226" s="263">
        <f t="shared" si="27"/>
        <v>1900</v>
      </c>
      <c r="B226" s="264" t="str">
        <f t="shared" si="28"/>
        <v>1</v>
      </c>
      <c r="C226" s="306">
        <f t="shared" si="32"/>
        <v>19001</v>
      </c>
    </row>
    <row r="227" spans="1:3" x14ac:dyDescent="0.2">
      <c r="A227" s="263">
        <f t="shared" si="27"/>
        <v>1900</v>
      </c>
      <c r="B227" s="264" t="str">
        <f t="shared" si="28"/>
        <v>1</v>
      </c>
      <c r="C227" s="306">
        <f t="shared" si="32"/>
        <v>19001</v>
      </c>
    </row>
    <row r="228" spans="1:3" x14ac:dyDescent="0.2">
      <c r="A228" s="263">
        <f t="shared" si="27"/>
        <v>1900</v>
      </c>
      <c r="B228" s="264" t="str">
        <f t="shared" si="28"/>
        <v>1</v>
      </c>
      <c r="C228" s="306">
        <f t="shared" si="32"/>
        <v>19001</v>
      </c>
    </row>
    <row r="229" spans="1:3" x14ac:dyDescent="0.2">
      <c r="A229" s="263">
        <f t="shared" si="27"/>
        <v>1900</v>
      </c>
      <c r="B229" s="264" t="str">
        <f t="shared" si="28"/>
        <v>1</v>
      </c>
      <c r="C229" s="306">
        <f t="shared" si="32"/>
        <v>19001</v>
      </c>
    </row>
    <row r="230" spans="1:3" x14ac:dyDescent="0.2">
      <c r="A230" s="263">
        <f t="shared" si="27"/>
        <v>1900</v>
      </c>
      <c r="B230" s="264" t="str">
        <f t="shared" si="28"/>
        <v>1</v>
      </c>
      <c r="C230" s="306">
        <f t="shared" si="32"/>
        <v>19001</v>
      </c>
    </row>
    <row r="231" spans="1:3" x14ac:dyDescent="0.2">
      <c r="A231" s="263">
        <f t="shared" si="27"/>
        <v>1900</v>
      </c>
      <c r="B231" s="264" t="str">
        <f t="shared" si="28"/>
        <v>1</v>
      </c>
      <c r="C231" s="306">
        <f t="shared" si="32"/>
        <v>19001</v>
      </c>
    </row>
    <row r="232" spans="1:3" x14ac:dyDescent="0.2">
      <c r="A232" s="263">
        <f t="shared" si="27"/>
        <v>1900</v>
      </c>
      <c r="B232" s="264" t="str">
        <f t="shared" si="28"/>
        <v>1</v>
      </c>
      <c r="C232" s="306">
        <f t="shared" si="32"/>
        <v>19001</v>
      </c>
    </row>
    <row r="233" spans="1:3" x14ac:dyDescent="0.2">
      <c r="A233" s="263">
        <f t="shared" si="27"/>
        <v>1900</v>
      </c>
      <c r="B233" s="264" t="str">
        <f t="shared" si="28"/>
        <v>1</v>
      </c>
      <c r="C233" s="306">
        <f t="shared" si="32"/>
        <v>19001</v>
      </c>
    </row>
    <row r="234" spans="1:3" x14ac:dyDescent="0.2">
      <c r="A234" s="263">
        <f t="shared" si="27"/>
        <v>1900</v>
      </c>
      <c r="B234" s="264" t="str">
        <f t="shared" si="28"/>
        <v>1</v>
      </c>
      <c r="C234" s="306">
        <f t="shared" si="32"/>
        <v>19001</v>
      </c>
    </row>
    <row r="235" spans="1:3" x14ac:dyDescent="0.2">
      <c r="A235" s="263">
        <f t="shared" si="27"/>
        <v>1900</v>
      </c>
      <c r="B235" s="264" t="str">
        <f t="shared" si="28"/>
        <v>1</v>
      </c>
      <c r="C235" s="306">
        <f t="shared" si="32"/>
        <v>19001</v>
      </c>
    </row>
    <row r="236" spans="1:3" x14ac:dyDescent="0.2">
      <c r="A236" s="263">
        <f t="shared" si="27"/>
        <v>1900</v>
      </c>
      <c r="B236" s="264" t="str">
        <f t="shared" si="28"/>
        <v>1</v>
      </c>
      <c r="C236" s="306">
        <f t="shared" si="32"/>
        <v>19001</v>
      </c>
    </row>
    <row r="237" spans="1:3" x14ac:dyDescent="0.2">
      <c r="A237" s="263">
        <f t="shared" si="27"/>
        <v>1900</v>
      </c>
      <c r="B237" s="264" t="str">
        <f t="shared" si="28"/>
        <v>1</v>
      </c>
      <c r="C237" s="306">
        <f t="shared" si="32"/>
        <v>19001</v>
      </c>
    </row>
    <row r="238" spans="1:3" x14ac:dyDescent="0.2">
      <c r="A238" s="263">
        <f t="shared" si="27"/>
        <v>1900</v>
      </c>
      <c r="B238" s="264" t="str">
        <f t="shared" si="28"/>
        <v>1</v>
      </c>
      <c r="C238" s="306">
        <f t="shared" si="32"/>
        <v>19001</v>
      </c>
    </row>
    <row r="239" spans="1:3" x14ac:dyDescent="0.2">
      <c r="A239" s="263">
        <f t="shared" si="27"/>
        <v>1900</v>
      </c>
      <c r="B239" s="264" t="str">
        <f t="shared" si="28"/>
        <v>1</v>
      </c>
      <c r="C239" s="306">
        <f t="shared" si="32"/>
        <v>19001</v>
      </c>
    </row>
    <row r="240" spans="1:3" x14ac:dyDescent="0.2">
      <c r="A240" s="263">
        <f t="shared" si="27"/>
        <v>1900</v>
      </c>
      <c r="B240" s="264" t="str">
        <f t="shared" si="28"/>
        <v>1</v>
      </c>
      <c r="C240" s="306">
        <f t="shared" si="32"/>
        <v>19001</v>
      </c>
    </row>
    <row r="241" spans="1:3" x14ac:dyDescent="0.2">
      <c r="A241" s="263">
        <f t="shared" si="27"/>
        <v>1900</v>
      </c>
      <c r="B241" s="264" t="str">
        <f t="shared" si="28"/>
        <v>1</v>
      </c>
      <c r="C241" s="306">
        <f t="shared" si="32"/>
        <v>19001</v>
      </c>
    </row>
    <row r="242" spans="1:3" x14ac:dyDescent="0.2">
      <c r="A242" s="263">
        <f t="shared" si="27"/>
        <v>1900</v>
      </c>
      <c r="B242" s="264" t="str">
        <f t="shared" si="28"/>
        <v>1</v>
      </c>
      <c r="C242" s="306">
        <f t="shared" si="32"/>
        <v>19001</v>
      </c>
    </row>
    <row r="243" spans="1:3" x14ac:dyDescent="0.2">
      <c r="A243" s="263">
        <f t="shared" ref="A243:A277" si="33">YEAR(D243)</f>
        <v>1900</v>
      </c>
      <c r="B243" s="264" t="str">
        <f t="shared" ref="B243:B277" si="34">IF(MONTH(D243)&lt;4,"1",IF(MONTH(D243)&lt;7,"2",IF(MONTH(D243)&lt;10,"3","4")))</f>
        <v>1</v>
      </c>
      <c r="C243" s="306">
        <f t="shared" si="32"/>
        <v>19001</v>
      </c>
    </row>
    <row r="244" spans="1:3" x14ac:dyDescent="0.2">
      <c r="A244" s="263">
        <f t="shared" si="33"/>
        <v>1900</v>
      </c>
      <c r="B244" s="264" t="str">
        <f t="shared" si="34"/>
        <v>1</v>
      </c>
      <c r="C244" s="306">
        <f t="shared" si="32"/>
        <v>19001</v>
      </c>
    </row>
    <row r="245" spans="1:3" x14ac:dyDescent="0.2">
      <c r="A245" s="263">
        <f t="shared" si="33"/>
        <v>1900</v>
      </c>
      <c r="B245" s="264" t="str">
        <f t="shared" si="34"/>
        <v>1</v>
      </c>
      <c r="C245" s="306">
        <f t="shared" si="32"/>
        <v>19001</v>
      </c>
    </row>
    <row r="246" spans="1:3" x14ac:dyDescent="0.2">
      <c r="A246" s="263">
        <f t="shared" si="33"/>
        <v>1900</v>
      </c>
      <c r="B246" s="264" t="str">
        <f t="shared" si="34"/>
        <v>1</v>
      </c>
      <c r="C246" s="306">
        <f t="shared" si="32"/>
        <v>19001</v>
      </c>
    </row>
    <row r="247" spans="1:3" x14ac:dyDescent="0.2">
      <c r="A247" s="263">
        <f t="shared" si="33"/>
        <v>1900</v>
      </c>
      <c r="B247" s="264" t="str">
        <f t="shared" si="34"/>
        <v>1</v>
      </c>
      <c r="C247" s="306">
        <f t="shared" si="32"/>
        <v>19001</v>
      </c>
    </row>
    <row r="248" spans="1:3" x14ac:dyDescent="0.2">
      <c r="A248" s="263">
        <f t="shared" si="33"/>
        <v>1900</v>
      </c>
      <c r="B248" s="264" t="str">
        <f t="shared" si="34"/>
        <v>1</v>
      </c>
      <c r="C248" s="306">
        <f t="shared" si="32"/>
        <v>19001</v>
      </c>
    </row>
    <row r="249" spans="1:3" x14ac:dyDescent="0.2">
      <c r="A249" s="263">
        <f t="shared" si="33"/>
        <v>1900</v>
      </c>
      <c r="B249" s="264" t="str">
        <f t="shared" si="34"/>
        <v>1</v>
      </c>
      <c r="C249" s="306">
        <f t="shared" si="32"/>
        <v>19001</v>
      </c>
    </row>
    <row r="250" spans="1:3" x14ac:dyDescent="0.2">
      <c r="A250" s="263">
        <f t="shared" si="33"/>
        <v>1900</v>
      </c>
      <c r="B250" s="264" t="str">
        <f t="shared" si="34"/>
        <v>1</v>
      </c>
      <c r="C250" s="306">
        <f t="shared" si="32"/>
        <v>19001</v>
      </c>
    </row>
    <row r="251" spans="1:3" x14ac:dyDescent="0.2">
      <c r="A251" s="263">
        <f t="shared" si="33"/>
        <v>1900</v>
      </c>
      <c r="B251" s="264" t="str">
        <f t="shared" si="34"/>
        <v>1</v>
      </c>
      <c r="C251" s="306">
        <f t="shared" si="32"/>
        <v>19001</v>
      </c>
    </row>
    <row r="252" spans="1:3" x14ac:dyDescent="0.2">
      <c r="A252" s="263">
        <f t="shared" si="33"/>
        <v>1900</v>
      </c>
      <c r="B252" s="264" t="str">
        <f t="shared" si="34"/>
        <v>1</v>
      </c>
      <c r="C252" s="306">
        <f t="shared" si="32"/>
        <v>19001</v>
      </c>
    </row>
    <row r="253" spans="1:3" x14ac:dyDescent="0.2">
      <c r="A253" s="263">
        <f t="shared" si="33"/>
        <v>1900</v>
      </c>
      <c r="B253" s="264" t="str">
        <f t="shared" si="34"/>
        <v>1</v>
      </c>
      <c r="C253" s="306">
        <f t="shared" si="32"/>
        <v>19001</v>
      </c>
    </row>
    <row r="254" spans="1:3" x14ac:dyDescent="0.2">
      <c r="A254" s="263">
        <f t="shared" si="33"/>
        <v>1900</v>
      </c>
      <c r="B254" s="264" t="str">
        <f t="shared" si="34"/>
        <v>1</v>
      </c>
      <c r="C254" s="306">
        <f t="shared" si="32"/>
        <v>19001</v>
      </c>
    </row>
    <row r="255" spans="1:3" x14ac:dyDescent="0.2">
      <c r="A255" s="263">
        <f t="shared" si="33"/>
        <v>1900</v>
      </c>
      <c r="B255" s="264" t="str">
        <f t="shared" si="34"/>
        <v>1</v>
      </c>
      <c r="C255" s="306">
        <f t="shared" si="32"/>
        <v>19001</v>
      </c>
    </row>
    <row r="256" spans="1:3" x14ac:dyDescent="0.2">
      <c r="A256" s="263">
        <f t="shared" si="33"/>
        <v>1900</v>
      </c>
      <c r="B256" s="264" t="str">
        <f t="shared" si="34"/>
        <v>1</v>
      </c>
      <c r="C256" s="306">
        <f t="shared" si="32"/>
        <v>19001</v>
      </c>
    </row>
    <row r="257" spans="1:3" x14ac:dyDescent="0.2">
      <c r="A257" s="263">
        <f t="shared" si="33"/>
        <v>1900</v>
      </c>
      <c r="B257" s="264" t="str">
        <f t="shared" si="34"/>
        <v>1</v>
      </c>
      <c r="C257" s="306">
        <f t="shared" si="32"/>
        <v>19001</v>
      </c>
    </row>
    <row r="258" spans="1:3" x14ac:dyDescent="0.2">
      <c r="A258" s="263">
        <f t="shared" si="33"/>
        <v>1900</v>
      </c>
      <c r="B258" s="264" t="str">
        <f t="shared" si="34"/>
        <v>1</v>
      </c>
      <c r="C258" s="306">
        <f t="shared" si="32"/>
        <v>19001</v>
      </c>
    </row>
    <row r="259" spans="1:3" x14ac:dyDescent="0.2">
      <c r="A259" s="263">
        <f t="shared" si="33"/>
        <v>1900</v>
      </c>
      <c r="B259" s="264" t="str">
        <f t="shared" si="34"/>
        <v>1</v>
      </c>
      <c r="C259" s="306">
        <f t="shared" si="32"/>
        <v>19001</v>
      </c>
    </row>
    <row r="260" spans="1:3" x14ac:dyDescent="0.2">
      <c r="A260" s="263">
        <f t="shared" si="33"/>
        <v>1900</v>
      </c>
      <c r="B260" s="264" t="str">
        <f t="shared" si="34"/>
        <v>1</v>
      </c>
      <c r="C260" s="306">
        <f t="shared" si="32"/>
        <v>19001</v>
      </c>
    </row>
    <row r="261" spans="1:3" x14ac:dyDescent="0.2">
      <c r="A261" s="263">
        <f t="shared" si="33"/>
        <v>1900</v>
      </c>
      <c r="B261" s="264" t="str">
        <f t="shared" si="34"/>
        <v>1</v>
      </c>
      <c r="C261" s="306">
        <f t="shared" si="32"/>
        <v>19001</v>
      </c>
    </row>
    <row r="262" spans="1:3" x14ac:dyDescent="0.2">
      <c r="A262" s="263">
        <f t="shared" si="33"/>
        <v>1900</v>
      </c>
      <c r="B262" s="264" t="str">
        <f t="shared" si="34"/>
        <v>1</v>
      </c>
      <c r="C262" s="306">
        <f t="shared" si="32"/>
        <v>19001</v>
      </c>
    </row>
    <row r="263" spans="1:3" x14ac:dyDescent="0.2">
      <c r="A263" s="263">
        <f t="shared" si="33"/>
        <v>1900</v>
      </c>
      <c r="B263" s="264" t="str">
        <f t="shared" si="34"/>
        <v>1</v>
      </c>
      <c r="C263" s="306">
        <f t="shared" si="32"/>
        <v>19001</v>
      </c>
    </row>
    <row r="264" spans="1:3" x14ac:dyDescent="0.2">
      <c r="A264" s="263">
        <f t="shared" si="33"/>
        <v>1900</v>
      </c>
      <c r="B264" s="264" t="str">
        <f t="shared" si="34"/>
        <v>1</v>
      </c>
      <c r="C264" s="306">
        <f t="shared" si="32"/>
        <v>19001</v>
      </c>
    </row>
    <row r="265" spans="1:3" x14ac:dyDescent="0.2">
      <c r="A265" s="263">
        <f t="shared" si="33"/>
        <v>1900</v>
      </c>
      <c r="B265" s="264" t="str">
        <f t="shared" si="34"/>
        <v>1</v>
      </c>
      <c r="C265" s="306">
        <f t="shared" ref="C265:C277" si="35">_xlfn.NUMBERVALUE(CONCATENATE(A265,B265))</f>
        <v>19001</v>
      </c>
    </row>
    <row r="266" spans="1:3" x14ac:dyDescent="0.2">
      <c r="A266" s="263">
        <f t="shared" si="33"/>
        <v>1900</v>
      </c>
      <c r="B266" s="264" t="str">
        <f t="shared" si="34"/>
        <v>1</v>
      </c>
      <c r="C266" s="306">
        <f t="shared" si="35"/>
        <v>19001</v>
      </c>
    </row>
    <row r="267" spans="1:3" x14ac:dyDescent="0.2">
      <c r="A267" s="263">
        <f t="shared" si="33"/>
        <v>1900</v>
      </c>
      <c r="B267" s="264" t="str">
        <f t="shared" si="34"/>
        <v>1</v>
      </c>
      <c r="C267" s="306">
        <f t="shared" si="35"/>
        <v>19001</v>
      </c>
    </row>
    <row r="268" spans="1:3" x14ac:dyDescent="0.2">
      <c r="A268" s="263">
        <f t="shared" si="33"/>
        <v>1900</v>
      </c>
      <c r="B268" s="264" t="str">
        <f t="shared" si="34"/>
        <v>1</v>
      </c>
      <c r="C268" s="306">
        <f t="shared" si="35"/>
        <v>19001</v>
      </c>
    </row>
    <row r="269" spans="1:3" x14ac:dyDescent="0.2">
      <c r="A269" s="263">
        <f t="shared" si="33"/>
        <v>1900</v>
      </c>
      <c r="B269" s="264" t="str">
        <f t="shared" si="34"/>
        <v>1</v>
      </c>
      <c r="C269" s="306">
        <f t="shared" si="35"/>
        <v>19001</v>
      </c>
    </row>
    <row r="270" spans="1:3" x14ac:dyDescent="0.2">
      <c r="A270" s="263">
        <f t="shared" si="33"/>
        <v>1900</v>
      </c>
      <c r="B270" s="264" t="str">
        <f t="shared" si="34"/>
        <v>1</v>
      </c>
      <c r="C270" s="306">
        <f t="shared" si="35"/>
        <v>19001</v>
      </c>
    </row>
    <row r="271" spans="1:3" x14ac:dyDescent="0.2">
      <c r="A271" s="263">
        <f t="shared" si="33"/>
        <v>1900</v>
      </c>
      <c r="B271" s="264" t="str">
        <f t="shared" si="34"/>
        <v>1</v>
      </c>
      <c r="C271" s="306">
        <f t="shared" si="35"/>
        <v>19001</v>
      </c>
    </row>
    <row r="272" spans="1:3" x14ac:dyDescent="0.2">
      <c r="A272" s="263">
        <f t="shared" si="33"/>
        <v>1900</v>
      </c>
      <c r="B272" s="264" t="str">
        <f t="shared" si="34"/>
        <v>1</v>
      </c>
      <c r="C272" s="306">
        <f t="shared" si="35"/>
        <v>19001</v>
      </c>
    </row>
    <row r="273" spans="1:10" x14ac:dyDescent="0.2">
      <c r="A273" s="263">
        <f t="shared" si="33"/>
        <v>1900</v>
      </c>
      <c r="B273" s="264" t="str">
        <f t="shared" si="34"/>
        <v>1</v>
      </c>
      <c r="C273" s="306">
        <f t="shared" si="35"/>
        <v>19001</v>
      </c>
    </row>
    <row r="274" spans="1:10" x14ac:dyDescent="0.2">
      <c r="A274" s="263">
        <f t="shared" si="33"/>
        <v>1900</v>
      </c>
      <c r="B274" s="264" t="str">
        <f t="shared" si="34"/>
        <v>1</v>
      </c>
      <c r="C274" s="306">
        <f t="shared" si="35"/>
        <v>19001</v>
      </c>
    </row>
    <row r="275" spans="1:10" x14ac:dyDescent="0.2">
      <c r="A275" s="263">
        <f t="shared" si="33"/>
        <v>1900</v>
      </c>
      <c r="B275" s="264" t="str">
        <f t="shared" si="34"/>
        <v>1</v>
      </c>
      <c r="C275" s="306">
        <f t="shared" si="35"/>
        <v>19001</v>
      </c>
    </row>
    <row r="276" spans="1:10" x14ac:dyDescent="0.2">
      <c r="A276" s="263">
        <f t="shared" si="33"/>
        <v>1900</v>
      </c>
      <c r="B276" s="264" t="str">
        <f t="shared" si="34"/>
        <v>1</v>
      </c>
      <c r="C276" s="306">
        <f t="shared" si="35"/>
        <v>19001</v>
      </c>
    </row>
    <row r="277" spans="1:10" x14ac:dyDescent="0.2">
      <c r="A277" s="263">
        <f t="shared" si="33"/>
        <v>1900</v>
      </c>
      <c r="B277" s="264" t="str">
        <f t="shared" si="34"/>
        <v>1</v>
      </c>
      <c r="C277" s="306">
        <f t="shared" si="35"/>
        <v>19001</v>
      </c>
    </row>
    <row r="280" spans="1:10" x14ac:dyDescent="0.2">
      <c r="E280" s="331"/>
      <c r="F280" s="331"/>
      <c r="G280" s="331"/>
      <c r="H280" s="331"/>
      <c r="I280" s="331"/>
      <c r="J280" s="331"/>
    </row>
    <row r="281" spans="1:10" x14ac:dyDescent="0.2">
      <c r="E281" s="331"/>
      <c r="F281" s="331"/>
      <c r="G281" s="331"/>
      <c r="H281" s="331"/>
      <c r="I281" s="331"/>
      <c r="J281" s="331"/>
    </row>
    <row r="282" spans="1:10" x14ac:dyDescent="0.2">
      <c r="E282" s="331"/>
      <c r="F282" s="331"/>
      <c r="G282" s="331"/>
      <c r="H282" s="331"/>
      <c r="I282" s="331"/>
      <c r="J282" s="331"/>
    </row>
    <row r="283" spans="1:10" x14ac:dyDescent="0.2">
      <c r="E283" s="331"/>
      <c r="F283" s="331"/>
      <c r="G283" s="331"/>
      <c r="H283" s="331"/>
      <c r="I283" s="331"/>
      <c r="J283" s="331"/>
    </row>
  </sheetData>
  <mergeCells count="4">
    <mergeCell ref="D6:L6"/>
    <mergeCell ref="N6:U6"/>
    <mergeCell ref="W6:AD6"/>
    <mergeCell ref="W189:AC189"/>
  </mergeCells>
  <pageMargins left="0.75" right="0.75" top="1" bottom="1" header="0.5" footer="0.5"/>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4BC4E-88B2-4264-A2F8-CB06A370794D}">
  <sheetPr codeName="Sheet14"/>
  <dimension ref="A1:V248"/>
  <sheetViews>
    <sheetView showGridLines="0" zoomScale="85" zoomScaleNormal="85" workbookViewId="0"/>
  </sheetViews>
  <sheetFormatPr defaultColWidth="9.109375" defaultRowHeight="14.4" x14ac:dyDescent="0.3"/>
  <cols>
    <col min="1" max="1" width="32.6640625" customWidth="1"/>
    <col min="2" max="2" width="16.6640625" bestFit="1" customWidth="1"/>
    <col min="3" max="3" width="18.44140625" customWidth="1"/>
    <col min="4" max="4" width="17.88671875" bestFit="1" customWidth="1"/>
    <col min="5" max="5" width="13.33203125" bestFit="1" customWidth="1"/>
    <col min="39" max="39" width="9.44140625" customWidth="1"/>
  </cols>
  <sheetData>
    <row r="1" spans="1:22" ht="15" thickBot="1" x14ac:dyDescent="0.35">
      <c r="D1" s="9" t="s">
        <v>71</v>
      </c>
      <c r="E1" s="332" t="s">
        <v>81</v>
      </c>
      <c r="U1" s="68" t="s">
        <v>81</v>
      </c>
      <c r="V1" s="68" t="s">
        <v>81</v>
      </c>
    </row>
    <row r="2" spans="1:22" x14ac:dyDescent="0.3">
      <c r="U2" s="68" t="s">
        <v>80</v>
      </c>
    </row>
    <row r="3" spans="1:22" s="107" customFormat="1" x14ac:dyDescent="0.3"/>
    <row r="6" spans="1:22" ht="18.75" customHeight="1" thickBot="1" x14ac:dyDescent="0.35">
      <c r="A6" s="651" t="str">
        <f ca="1">CONCATENATE("Royalty Receipts And North West Shelf Grants ",B7," and ",C7)</f>
        <v>Royalty Receipts And North West Shelf Grants 2022-23 and 2023-24</v>
      </c>
      <c r="B6" s="651"/>
      <c r="C6" s="651"/>
      <c r="D6" s="651"/>
      <c r="E6" s="651"/>
      <c r="G6" s="2"/>
    </row>
    <row r="7" spans="1:22" x14ac:dyDescent="0.3">
      <c r="A7" s="333"/>
      <c r="B7" s="334" t="str">
        <f ca="1">IF(E1="Calendar Year",LARGE('Royalties Historic'!B25:DF25,2),INDIRECT(CONCATENATE("'Royalties Historic'!",ADDRESS(8,('Royalties Historic'!A3-2),1,))))</f>
        <v>2022-23</v>
      </c>
      <c r="C7" s="334" t="str">
        <f ca="1">IF(E1="Calendar Year",LARGE('Royalties Historic'!B25:DF25,1),INDIRECT(CONCATENATE("'Royalties Historic'!",ADDRESS(8,('Royalties Historic'!A3-1),1,))))</f>
        <v>2023-24</v>
      </c>
      <c r="D7" s="652" t="str">
        <f ca="1">CONCATENATE(C7," Growth")</f>
        <v>2023-24 Growth</v>
      </c>
      <c r="E7" s="653"/>
      <c r="G7" s="2"/>
      <c r="T7" s="68" t="str">
        <f ca="1">CONCATENATE("Revenue Growth "&amp;CHAR(10)&amp;B7&amp;" to "&amp;C7)</f>
        <v>Revenue Growth 
2022-23 to 2023-24</v>
      </c>
      <c r="U7" s="68" t="str">
        <f ca="1">CONCATENATE("Royalty Receipts And North West Shelf Grants "&amp;CHAR(10)&amp;C7)</f>
        <v>Royalty Receipts And North West Shelf Grants 
2023-24</v>
      </c>
    </row>
    <row r="8" spans="1:22" x14ac:dyDescent="0.3">
      <c r="A8" s="335" t="s">
        <v>82</v>
      </c>
      <c r="B8" s="336" t="s">
        <v>135</v>
      </c>
      <c r="C8" s="336" t="s">
        <v>135</v>
      </c>
      <c r="D8" s="337" t="s">
        <v>135</v>
      </c>
      <c r="E8" s="338" t="s">
        <v>84</v>
      </c>
      <c r="G8" s="2"/>
    </row>
    <row r="9" spans="1:22" x14ac:dyDescent="0.3">
      <c r="A9" s="339" t="s">
        <v>136</v>
      </c>
      <c r="B9" s="340" cm="1">
        <f t="array" aca="1" ref="B9" ca="1">IF($E$1="Financial Year",
_xlfn.XLOOKUP(B$7, 'Royalties Historic'!$8:$8, _xlfn.XLOOKUP($A9, 'Royalties Historic'!$A$10:$A$22, 'Royalties Historic'!$10:$22)),
_xlfn.XLOOKUP(B$7, 'Royalties Historic'!$25:$25, _xlfn.XLOOKUP($A9, 'Royalties Historic'!$A$27:$A$39, 'Royalties Historic'!$27:$39))
)</f>
        <v>113.64670525</v>
      </c>
      <c r="C9" s="340" cm="1">
        <f t="array" aca="1" ref="C9" ca="1">IF($E$1="Financial Year",
_xlfn.XLOOKUP(C$7, 'Royalties Historic'!$8:$8, _xlfn.XLOOKUP($A9, 'Royalties Historic'!$A$10:$A$22, 'Royalties Historic'!$10:$22)),
_xlfn.XLOOKUP(C$7, 'Royalties Historic'!$25:$25, _xlfn.XLOOKUP($A9, 'Royalties Historic'!$A$27:$A$39, 'Royalties Historic'!$27:$39))
)</f>
        <v>109.12560028000001</v>
      </c>
      <c r="D9" s="341">
        <f ca="1">C9-B9</f>
        <v>-4.5211049699999819</v>
      </c>
      <c r="E9" s="342">
        <f ca="1">IFERROR(D9/B9, "")</f>
        <v>-3.9782103317948868E-2</v>
      </c>
      <c r="F9" s="79"/>
      <c r="G9" s="2"/>
      <c r="J9" t="str">
        <f ca="1">"Royalty Receipts and North West Shelf Grants"&amp;CHAR(10)&amp;C7</f>
        <v>Royalty Receipts and North West Shelf Grants
2023-24</v>
      </c>
    </row>
    <row r="10" spans="1:22" x14ac:dyDescent="0.3">
      <c r="A10" s="339" t="s">
        <v>137</v>
      </c>
      <c r="B10" s="343" cm="1">
        <f t="array" aca="1" ref="B10" ca="1">IF($E$1="Financial Year",
_xlfn.XLOOKUP(B$7, 'Royalties Historic'!$8:$8, _xlfn.XLOOKUP($A10, 'Royalties Historic'!$A$10:$A$22, 'Royalties Historic'!$10:$22)),
_xlfn.XLOOKUP(B$7, 'Royalties Historic'!$25:$25, _xlfn.XLOOKUP($A10, 'Royalties Historic'!$A$27:$A$39, 'Royalties Historic'!$27:$39))
)</f>
        <v>74.81588081000001</v>
      </c>
      <c r="C10" s="343" cm="1">
        <f t="array" aca="1" ref="C10" ca="1">IF($E$1="Financial Year",
_xlfn.XLOOKUP(C$7, 'Royalties Historic'!$8:$8, _xlfn.XLOOKUP($A10, 'Royalties Historic'!$A$10:$A$22, 'Royalties Historic'!$10:$22)),
_xlfn.XLOOKUP(C$7, 'Royalties Historic'!$25:$25, _xlfn.XLOOKUP($A10, 'Royalties Historic'!$A$27:$A$39, 'Royalties Historic'!$27:$39))
)</f>
        <v>51.985805689999999</v>
      </c>
      <c r="D10" s="344">
        <f t="shared" ref="D10:D12" ca="1" si="0">C10-B10</f>
        <v>-22.830075120000011</v>
      </c>
      <c r="E10" s="345">
        <f t="shared" ref="E10:E21" ca="1" si="1">IFERROR(D10/B10, "")</f>
        <v>-0.30515012150934279</v>
      </c>
      <c r="F10" s="79"/>
      <c r="G10" s="2"/>
    </row>
    <row r="11" spans="1:22" x14ac:dyDescent="0.3">
      <c r="A11" s="339" t="s">
        <v>138</v>
      </c>
      <c r="B11" s="340" cm="1">
        <f t="array" aca="1" ref="B11" ca="1">IF($E$1="Financial Year",
_xlfn.XLOOKUP(B$7, 'Royalties Historic'!$8:$8, _xlfn.XLOOKUP($A11, 'Royalties Historic'!$A$10:$A$22, 'Royalties Historic'!$10:$22)),
_xlfn.XLOOKUP(B$7, 'Royalties Historic'!$25:$25, _xlfn.XLOOKUP($A11, 'Royalties Historic'!$A$27:$A$39, 'Royalties Historic'!$27:$39))
)</f>
        <v>0</v>
      </c>
      <c r="C11" s="340" cm="1">
        <f t="array" aca="1" ref="C11" ca="1">IF($E$1="Financial Year",
_xlfn.XLOOKUP(C$7, 'Royalties Historic'!$8:$8, _xlfn.XLOOKUP($A11, 'Royalties Historic'!$A$10:$A$22, 'Royalties Historic'!$10:$22)),
_xlfn.XLOOKUP(C$7, 'Royalties Historic'!$25:$25, _xlfn.XLOOKUP($A11, 'Royalties Historic'!$A$27:$A$39, 'Royalties Historic'!$27:$39))
)</f>
        <v>0</v>
      </c>
      <c r="D11" s="341">
        <f t="shared" ca="1" si="0"/>
        <v>0</v>
      </c>
      <c r="E11" s="342" t="str">
        <f t="shared" ca="1" si="1"/>
        <v/>
      </c>
      <c r="F11" s="79"/>
      <c r="G11" s="2"/>
    </row>
    <row r="12" spans="1:22" x14ac:dyDescent="0.3">
      <c r="A12" s="339" t="s">
        <v>87</v>
      </c>
      <c r="B12" s="343" cm="1">
        <f t="array" aca="1" ref="B12" ca="1">IF($E$1="Financial Year",
_xlfn.XLOOKUP(B$7, 'Royalties Historic'!$8:$8, _xlfn.XLOOKUP($A12, 'Royalties Historic'!$A$10:$A$22, 'Royalties Historic'!$10:$22)),
_xlfn.XLOOKUP(B$7, 'Royalties Historic'!$25:$25, _xlfn.XLOOKUP($A12, 'Royalties Historic'!$A$27:$A$39, 'Royalties Historic'!$27:$39))
)</f>
        <v>436.01871603000006</v>
      </c>
      <c r="C12" s="343" cm="1">
        <f t="array" aca="1" ref="C12" ca="1">IF($E$1="Financial Year",
_xlfn.XLOOKUP(C$7, 'Royalties Historic'!$8:$8, _xlfn.XLOOKUP($A12, 'Royalties Historic'!$A$10:$A$22, 'Royalties Historic'!$10:$22)),
_xlfn.XLOOKUP(C$7, 'Royalties Historic'!$25:$25, _xlfn.XLOOKUP($A12, 'Royalties Historic'!$A$27:$A$39, 'Royalties Historic'!$27:$39))
)</f>
        <v>496.75666791999981</v>
      </c>
      <c r="D12" s="344">
        <f t="shared" ca="1" si="0"/>
        <v>60.737951889999749</v>
      </c>
      <c r="E12" s="345">
        <f t="shared" ca="1" si="1"/>
        <v>0.13930124936614122</v>
      </c>
      <c r="F12" s="79"/>
      <c r="G12" s="2"/>
    </row>
    <row r="13" spans="1:22" x14ac:dyDescent="0.3">
      <c r="A13" s="339" t="s">
        <v>88</v>
      </c>
      <c r="B13" s="340" cm="1">
        <f t="array" aca="1" ref="B13" ca="1">IF($E$1="Financial Year",
_xlfn.XLOOKUP(B$7, 'Royalties Historic'!$8:$8, _xlfn.XLOOKUP($A13, 'Royalties Historic'!$A$10:$A$22, 'Royalties Historic'!$10:$22)),
_xlfn.XLOOKUP(B$7, 'Royalties Historic'!$25:$25, _xlfn.XLOOKUP($A13, 'Royalties Historic'!$A$27:$A$39, 'Royalties Historic'!$27:$39))
)</f>
        <v>9393.1288647400033</v>
      </c>
      <c r="C13" s="340" cm="1">
        <f t="array" aca="1" ref="C13" ca="1">IF($E$1="Financial Year",
_xlfn.XLOOKUP(C$7, 'Royalties Historic'!$8:$8, _xlfn.XLOOKUP($A13, 'Royalties Historic'!$A$10:$A$22, 'Royalties Historic'!$10:$22)),
_xlfn.XLOOKUP(C$7, 'Royalties Historic'!$25:$25, _xlfn.XLOOKUP($A13, 'Royalties Historic'!$A$27:$A$39, 'Royalties Historic'!$27:$39))
)</f>
        <v>10372.32968635</v>
      </c>
      <c r="D13" s="341">
        <f ca="1">C13-B13</f>
        <v>979.20082160999664</v>
      </c>
      <c r="E13" s="342">
        <f t="shared" ca="1" si="1"/>
        <v>0.10424650142783923</v>
      </c>
      <c r="F13" s="84"/>
      <c r="G13" s="346"/>
    </row>
    <row r="14" spans="1:22" x14ac:dyDescent="0.3">
      <c r="A14" s="339" t="s">
        <v>89</v>
      </c>
      <c r="B14" s="343" cm="1">
        <f t="array" aca="1" ref="B14" ca="1">IF($E$1="Financial Year",
_xlfn.XLOOKUP(B$7, 'Royalties Historic'!$8:$8, _xlfn.XLOOKUP($A14, 'Royalties Historic'!$A$10:$A$22, 'Royalties Historic'!$10:$22)),
_xlfn.XLOOKUP(B$7, 'Royalties Historic'!$25:$25, _xlfn.XLOOKUP($A14, 'Royalties Historic'!$A$27:$A$39, 'Royalties Historic'!$27:$39))
)</f>
        <v>929.86525984999992</v>
      </c>
      <c r="C14" s="343" cm="1">
        <f t="array" aca="1" ref="C14" ca="1">IF($E$1="Financial Year",
_xlfn.XLOOKUP(C$7, 'Royalties Historic'!$8:$8, _xlfn.XLOOKUP($A14, 'Royalties Historic'!$A$10:$A$22, 'Royalties Historic'!$10:$22)),
_xlfn.XLOOKUP(C$7, 'Royalties Historic'!$25:$25, _xlfn.XLOOKUP($A14, 'Royalties Historic'!$A$27:$A$39, 'Royalties Historic'!$27:$39))
)</f>
        <v>710.17382730000008</v>
      </c>
      <c r="D14" s="344">
        <f t="shared" ref="D14:D18" ca="1" si="2">C14-B14</f>
        <v>-219.69143254999983</v>
      </c>
      <c r="E14" s="345">
        <f t="shared" ca="1" si="1"/>
        <v>-0.23626157684978907</v>
      </c>
      <c r="F14" s="347"/>
      <c r="G14" s="346"/>
    </row>
    <row r="15" spans="1:22" x14ac:dyDescent="0.3">
      <c r="A15" s="339" t="s">
        <v>139</v>
      </c>
      <c r="B15" s="340" cm="1">
        <f t="array" aca="1" ref="B15" ca="1">IF($E$1="Financial Year",
_xlfn.XLOOKUP(B$7, 'Royalties Historic'!$8:$8, _xlfn.XLOOKUP($A15, 'Royalties Historic'!$A$10:$A$22, 'Royalties Historic'!$10:$22)),
_xlfn.XLOOKUP(B$7, 'Royalties Historic'!$25:$25, _xlfn.XLOOKUP($A15, 'Royalties Historic'!$A$27:$A$39, 'Royalties Historic'!$27:$39))
)</f>
        <v>46.587669900000002</v>
      </c>
      <c r="C15" s="340" cm="1">
        <f t="array" aca="1" ref="C15" ca="1">IF($E$1="Financial Year",
_xlfn.XLOOKUP(C$7, 'Royalties Historic'!$8:$8, _xlfn.XLOOKUP($A15, 'Royalties Historic'!$A$10:$A$22, 'Royalties Historic'!$10:$22)),
_xlfn.XLOOKUP(C$7, 'Royalties Historic'!$25:$25, _xlfn.XLOOKUP($A15, 'Royalties Historic'!$A$27:$A$39, 'Royalties Historic'!$27:$39))
)</f>
        <v>43.224860360000001</v>
      </c>
      <c r="D15" s="341">
        <f t="shared" ca="1" si="2"/>
        <v>-3.3628095400000007</v>
      </c>
      <c r="E15" s="342">
        <f t="shared" ca="1" si="1"/>
        <v>-7.218239390847922E-2</v>
      </c>
      <c r="F15" s="79"/>
      <c r="G15" s="2"/>
      <c r="M15" s="68" t="str">
        <f ca="1">CONCATENATE("Royalty Receipts and North West Shelf Grants ",C7)</f>
        <v>Royalty Receipts and North West Shelf Grants 2023-24</v>
      </c>
    </row>
    <row r="16" spans="1:22" x14ac:dyDescent="0.3">
      <c r="A16" s="339" t="s">
        <v>91</v>
      </c>
      <c r="B16" s="343" cm="1">
        <f t="array" aca="1" ref="B16" ca="1">IF($E$1="Financial Year",
_xlfn.XLOOKUP(B$7, 'Royalties Historic'!$8:$8, _xlfn.XLOOKUP($A16, 'Royalties Historic'!$A$10:$A$22, 'Royalties Historic'!$10:$22)),
_xlfn.XLOOKUP(B$7, 'Royalties Historic'!$25:$25, _xlfn.XLOOKUP($A16, 'Royalties Historic'!$A$27:$A$39, 'Royalties Historic'!$27:$39))
)</f>
        <v>139.69026995000002</v>
      </c>
      <c r="C16" s="343" cm="1">
        <f t="array" aca="1" ref="C16" ca="1">IF($E$1="Financial Year",
_xlfn.XLOOKUP(C$7, 'Royalties Historic'!$8:$8, _xlfn.XLOOKUP($A16, 'Royalties Historic'!$A$10:$A$22, 'Royalties Historic'!$10:$22)),
_xlfn.XLOOKUP(C$7, 'Royalties Historic'!$25:$25, _xlfn.XLOOKUP($A16, 'Royalties Historic'!$A$27:$A$39, 'Royalties Historic'!$27:$39))
)</f>
        <v>98.503548449999997</v>
      </c>
      <c r="D16" s="344">
        <f t="shared" ca="1" si="2"/>
        <v>-41.186721500000019</v>
      </c>
      <c r="E16" s="345">
        <f t="shared" ca="1" si="1"/>
        <v>-0.29484316634753566</v>
      </c>
      <c r="F16" s="79"/>
      <c r="G16" s="2"/>
    </row>
    <row r="17" spans="1:13" x14ac:dyDescent="0.3">
      <c r="A17" s="339" t="s">
        <v>140</v>
      </c>
      <c r="B17" s="340" cm="1">
        <f t="array" aca="1" ref="B17" ca="1">IF($E$1="Financial Year",
_xlfn.XLOOKUP(B$7, 'Royalties Historic'!$8:$8, _xlfn.XLOOKUP($A17, 'Royalties Historic'!$A$10:$A$22, 'Royalties Historic'!$10:$22)),
_xlfn.XLOOKUP(B$7, 'Royalties Historic'!$25:$25, _xlfn.XLOOKUP($A17, 'Royalties Historic'!$A$27:$A$39, 'Royalties Historic'!$27:$39))
)</f>
        <v>78.697871399999997</v>
      </c>
      <c r="C17" s="340" cm="1">
        <f t="array" aca="1" ref="C17" ca="1">IF($E$1="Financial Year",
_xlfn.XLOOKUP(C$7, 'Royalties Historic'!$8:$8, _xlfn.XLOOKUP($A17, 'Royalties Historic'!$A$10:$A$22, 'Royalties Historic'!$10:$22)),
_xlfn.XLOOKUP(C$7, 'Royalties Historic'!$25:$25, _xlfn.XLOOKUP($A17, 'Royalties Historic'!$A$27:$A$39, 'Royalties Historic'!$27:$39))
)</f>
        <v>101.26134295000011</v>
      </c>
      <c r="D17" s="341">
        <f t="shared" ca="1" si="2"/>
        <v>22.563471550000116</v>
      </c>
      <c r="E17" s="342">
        <f t="shared" ca="1" si="1"/>
        <v>0.28671006151254197</v>
      </c>
      <c r="F17" s="79"/>
      <c r="G17" s="2"/>
    </row>
    <row r="18" spans="1:13" x14ac:dyDescent="0.3">
      <c r="A18" s="339" t="s">
        <v>92</v>
      </c>
      <c r="B18" s="343" cm="1">
        <f t="array" aca="1" ref="B18" ca="1">IF($E$1="Financial Year",
_xlfn.XLOOKUP(B$7, 'Royalties Historic'!$8:$8, _xlfn.XLOOKUP($A18, 'Royalties Historic'!$A$10:$A$22, 'Royalties Historic'!$10:$22)),
_xlfn.XLOOKUP(B$7, 'Royalties Historic'!$25:$25, _xlfn.XLOOKUP($A18, 'Royalties Historic'!$A$27:$A$39, 'Royalties Historic'!$27:$39))
)</f>
        <v>15.285560609999997</v>
      </c>
      <c r="C18" s="343" cm="1">
        <f t="array" aca="1" ref="C18" ca="1">IF($E$1="Financial Year",
_xlfn.XLOOKUP(C$7, 'Royalties Historic'!$8:$8, _xlfn.XLOOKUP($A18, 'Royalties Historic'!$A$10:$A$22, 'Royalties Historic'!$10:$22)),
_xlfn.XLOOKUP(C$7, 'Royalties Historic'!$25:$25, _xlfn.XLOOKUP($A18, 'Royalties Historic'!$A$27:$A$39, 'Royalties Historic'!$27:$39))
)</f>
        <v>22.908999769999994</v>
      </c>
      <c r="D18" s="344">
        <f t="shared" ca="1" si="2"/>
        <v>7.6234391599999967</v>
      </c>
      <c r="E18" s="345">
        <f t="shared" ca="1" si="1"/>
        <v>0.49873467872762556</v>
      </c>
      <c r="F18" s="79"/>
      <c r="G18" s="2"/>
      <c r="M18" t="str">
        <f ca="1">"Revenue Growth"&amp;CHAR(10)&amp;B7&amp;" to "&amp;C7</f>
        <v>Revenue Growth
2022-23 to 2023-24</v>
      </c>
    </row>
    <row r="19" spans="1:13" x14ac:dyDescent="0.3">
      <c r="A19" s="348" t="s">
        <v>141</v>
      </c>
      <c r="B19" s="340" cm="1">
        <f t="array" aca="1" ref="B19" ca="1">IF($E$1="Financial Year",
_xlfn.XLOOKUP(B$7, 'Royalties Historic'!$8:$8, _xlfn.XLOOKUP($A19, 'Royalties Historic'!$A$10:$A$22, 'Royalties Historic'!$10:$22)),
_xlfn.XLOOKUP(B$7, 'Royalties Historic'!$25:$25, _xlfn.XLOOKUP($A19, 'Royalties Historic'!$A$27:$A$39, 'Royalties Historic'!$27:$39))
)</f>
        <v>1528.3771826699999</v>
      </c>
      <c r="C19" s="340" cm="1">
        <f t="array" aca="1" ref="C19" ca="1">IF($E$1="Financial Year",
_xlfn.XLOOKUP(C$7, 'Royalties Historic'!$8:$8, _xlfn.XLOOKUP($A19, 'Royalties Historic'!$A$10:$A$22, 'Royalties Historic'!$10:$22)),
_xlfn.XLOOKUP(C$7, 'Royalties Historic'!$25:$25, _xlfn.XLOOKUP($A19, 'Royalties Historic'!$A$27:$A$39, 'Royalties Historic'!$27:$39))
)</f>
        <v>694.408815</v>
      </c>
      <c r="D19" s="341">
        <f ca="1">C19-B19</f>
        <v>-833.96836766999991</v>
      </c>
      <c r="E19" s="342">
        <f t="shared" ca="1" si="1"/>
        <v>-0.54565612279888798</v>
      </c>
      <c r="F19" s="79"/>
      <c r="G19" s="2"/>
    </row>
    <row r="20" spans="1:13" x14ac:dyDescent="0.3">
      <c r="A20" s="349" t="s">
        <v>142</v>
      </c>
      <c r="B20" s="350" cm="1">
        <f t="array" aca="1" ref="B20" ca="1">IF($E$1="Financial Year",
_xlfn.XLOOKUP(B$7, 'Royalties Historic'!$8:$8, _xlfn.XLOOKUP($A20, 'Royalties Historic'!$A$10:$A$22, 'Royalties Historic'!$10:$22)),
_xlfn.XLOOKUP(B$7, 'Royalties Historic'!$25:$25, _xlfn.XLOOKUP($A20, 'Royalties Historic'!$A$27:$A$39, 'Royalties Historic'!$27:$39))
)</f>
        <v>11227.73679854</v>
      </c>
      <c r="C20" s="350" cm="1">
        <f t="array" aca="1" ref="C20" ca="1">IF($E$1="Financial Year",
_xlfn.XLOOKUP(C$7, 'Royalties Historic'!$8:$8, _xlfn.XLOOKUP($A20, 'Royalties Historic'!$A$10:$A$22, 'Royalties Historic'!$10:$22)),
_xlfn.XLOOKUP(C$7, 'Royalties Historic'!$25:$25, _xlfn.XLOOKUP($A20, 'Royalties Historic'!$A$27:$A$39, 'Royalties Historic'!$27:$39))
)</f>
        <v>12006.270339070001</v>
      </c>
      <c r="D20" s="351">
        <f t="shared" ref="D20:D21" ca="1" si="3">C20-B20</f>
        <v>778.53354053000112</v>
      </c>
      <c r="E20" s="352">
        <f t="shared" ca="1" si="1"/>
        <v>6.9340202259749961E-2</v>
      </c>
      <c r="G20" s="2"/>
    </row>
    <row r="21" spans="1:13" ht="15" thickBot="1" x14ac:dyDescent="0.35">
      <c r="A21" s="353" t="s">
        <v>143</v>
      </c>
      <c r="B21" s="354" cm="1">
        <f t="array" aca="1" ref="B21" ca="1">IF($E$1="Financial Year",
_xlfn.XLOOKUP(B$7, 'Royalties Historic'!$8:$8, _xlfn.XLOOKUP($A21, 'Royalties Historic'!$A$10:$A$22, 'Royalties Historic'!$10:$22)),
_xlfn.XLOOKUP(B$7, 'Royalties Historic'!$25:$25, _xlfn.XLOOKUP($A21, 'Royalties Historic'!$A$27:$A$39, 'Royalties Historic'!$27:$39))
)</f>
        <v>12756.113981209999</v>
      </c>
      <c r="C21" s="354" cm="1">
        <f t="array" aca="1" ref="C21" ca="1">IF($E$1="Financial Year",
_xlfn.XLOOKUP(C$7, 'Royalties Historic'!$8:$8, _xlfn.XLOOKUP($A21, 'Royalties Historic'!$A$10:$A$22, 'Royalties Historic'!$10:$22)),
_xlfn.XLOOKUP(C$7, 'Royalties Historic'!$25:$25, _xlfn.XLOOKUP($A21, 'Royalties Historic'!$A$27:$A$39, 'Royalties Historic'!$27:$39))
)</f>
        <v>12700.679154070001</v>
      </c>
      <c r="D21" s="355">
        <f t="shared" ca="1" si="3"/>
        <v>-55.434827139997651</v>
      </c>
      <c r="E21" s="356">
        <f t="shared" ca="1" si="1"/>
        <v>-4.3457456731457724E-3</v>
      </c>
      <c r="G21" s="2"/>
    </row>
    <row r="22" spans="1:13" ht="40.5" customHeight="1" x14ac:dyDescent="0.3">
      <c r="A22" s="654" t="str">
        <f ca="1">IF(E1="Calendar Year", "Regulation 86A of the Mining Regulations 1981 requires that royalties be paid within 30 days following the end of a quarter. As a result, the cash receipts are necessarily offset by one quarter, i.e. the "&amp;C7&amp;" calendar year royalty receipts reflect the "&amp;B7&amp;" December quarter, and the "&amp;C7&amp;" March, June and September quarters.",
"Regulation 86A of the Mining Regulations 1981 requires that royalties be paid within 30 days following the end of a quarter. As a result, the cash receipts are necessarily offset by one quarter, i.e. the "&amp;C7&amp;" financial year royalty receipts reflect the "&amp;LEFT(C7,4)&amp;" June, September and December quarters, and the "&amp;LEFT(C7,4)+1&amp;" March quarter.")</f>
        <v>Regulation 86A of the Mining Regulations 1981 requires that royalties be paid within 30 days following the end of a quarter. As a result, the cash receipts are necessarily offset by one quarter, i.e. the 2023-24 financial year royalty receipts reflect the 2023 June, September and December quarters, and the 2024 March quarter.</v>
      </c>
      <c r="B22" s="654"/>
      <c r="C22" s="654"/>
      <c r="D22" s="654"/>
      <c r="E22" s="654"/>
      <c r="G22" s="2"/>
    </row>
    <row r="24" spans="1:13" x14ac:dyDescent="0.3">
      <c r="A24" s="654"/>
      <c r="B24" s="654"/>
      <c r="C24" s="654"/>
      <c r="D24" s="654"/>
      <c r="E24" s="654"/>
    </row>
    <row r="25" spans="1:13" x14ac:dyDescent="0.3">
      <c r="A25" s="101"/>
      <c r="B25" s="102"/>
      <c r="C25" s="102"/>
      <c r="D25" s="102"/>
      <c r="E25" s="102"/>
    </row>
    <row r="26" spans="1:13" x14ac:dyDescent="0.3">
      <c r="A26" s="103"/>
    </row>
    <row r="27" spans="1:13" x14ac:dyDescent="0.3">
      <c r="A27" s="103"/>
    </row>
    <row r="31" spans="1:13" x14ac:dyDescent="0.3">
      <c r="C31" s="104"/>
    </row>
    <row r="37" spans="1:1" x14ac:dyDescent="0.3">
      <c r="A37" s="105"/>
    </row>
    <row r="237" spans="2:2" x14ac:dyDescent="0.3">
      <c r="B237">
        <v>63.54</v>
      </c>
    </row>
    <row r="238" spans="2:2" x14ac:dyDescent="0.3">
      <c r="B238">
        <v>63.86</v>
      </c>
    </row>
    <row r="239" spans="2:2" x14ac:dyDescent="0.3">
      <c r="B239">
        <v>63.7</v>
      </c>
    </row>
    <row r="240" spans="2:2" x14ac:dyDescent="0.3">
      <c r="B240">
        <v>64.67</v>
      </c>
    </row>
    <row r="241" spans="2:2" x14ac:dyDescent="0.3">
      <c r="B241">
        <v>65.03</v>
      </c>
    </row>
    <row r="242" spans="2:2" x14ac:dyDescent="0.3">
      <c r="B242">
        <v>64.67</v>
      </c>
    </row>
    <row r="243" spans="2:2" x14ac:dyDescent="0.3">
      <c r="B243">
        <v>65.260000000000005</v>
      </c>
    </row>
    <row r="244" spans="2:2" x14ac:dyDescent="0.3">
      <c r="B244">
        <v>66.599999999999994</v>
      </c>
    </row>
    <row r="245" spans="2:2" x14ac:dyDescent="0.3">
      <c r="B245">
        <v>66.28</v>
      </c>
    </row>
    <row r="246" spans="2:2" x14ac:dyDescent="0.3">
      <c r="B246">
        <v>65.11</v>
      </c>
    </row>
    <row r="247" spans="2:2" x14ac:dyDescent="0.3">
      <c r="B247">
        <v>64.040000000000006</v>
      </c>
    </row>
    <row r="248" spans="2:2" x14ac:dyDescent="0.3">
      <c r="B248">
        <v>64.569999999999993</v>
      </c>
    </row>
  </sheetData>
  <mergeCells count="4">
    <mergeCell ref="A6:E6"/>
    <mergeCell ref="D7:E7"/>
    <mergeCell ref="A22:E22"/>
    <mergeCell ref="A24:E24"/>
  </mergeCells>
  <conditionalFormatting sqref="D9:E10 F13:G14 D19:E21">
    <cfRule type="cellIs" dxfId="4" priority="5" operator="lessThan">
      <formula>0</formula>
    </cfRule>
  </conditionalFormatting>
  <conditionalFormatting sqref="D17:E18">
    <cfRule type="cellIs" dxfId="3" priority="1" operator="lessThan">
      <formula>0</formula>
    </cfRule>
  </conditionalFormatting>
  <conditionalFormatting sqref="D11:E12">
    <cfRule type="cellIs" dxfId="2" priority="4" operator="lessThan">
      <formula>0</formula>
    </cfRule>
  </conditionalFormatting>
  <conditionalFormatting sqref="D13:E14">
    <cfRule type="cellIs" dxfId="1" priority="3" operator="lessThan">
      <formula>0</formula>
    </cfRule>
  </conditionalFormatting>
  <conditionalFormatting sqref="D15:E16">
    <cfRule type="cellIs" dxfId="0" priority="2" operator="lessThan">
      <formula>0</formula>
    </cfRule>
  </conditionalFormatting>
  <dataValidations count="1">
    <dataValidation type="list" allowBlank="1" showInputMessage="1" showErrorMessage="1" promptTitle="Select a Period" prompt="Click to select Calendar or Financial Year" sqref="E1" xr:uid="{CDCBD6EE-8D50-4169-9A65-8B8442B95D8A}">
      <formula1>$U$1:$U$2</formula1>
    </dataValidation>
  </dataValidations>
  <pageMargins left="0.70866141732283472" right="0.70866141732283472" top="0.74803149606299213" bottom="0.74803149606299213" header="0.31496062992125984" footer="0.31496062992125984"/>
  <pageSetup paperSize="9" scale="9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BC5F0-4BF9-494D-9F06-E1CD5F95B018}">
  <sheetPr codeName="Sheet15"/>
  <dimension ref="A1:BG215"/>
  <sheetViews>
    <sheetView showGridLines="0" zoomScale="85" zoomScaleNormal="85" workbookViewId="0">
      <pane xSplit="1" topLeftCell="B1" activePane="topRight" state="frozen"/>
      <selection pane="topRight"/>
    </sheetView>
  </sheetViews>
  <sheetFormatPr defaultColWidth="9.109375" defaultRowHeight="14.4" x14ac:dyDescent="0.3"/>
  <cols>
    <col min="1" max="1" width="66.88671875" customWidth="1"/>
    <col min="2" max="25" width="12.6640625" customWidth="1"/>
    <col min="26" max="26" width="13.33203125" customWidth="1"/>
    <col min="27" max="27" width="13.109375" customWidth="1"/>
    <col min="28" max="28" width="14.109375" customWidth="1"/>
    <col min="29" max="32" width="13.109375" customWidth="1"/>
    <col min="33" max="34" width="15.44140625" customWidth="1"/>
    <col min="35" max="44" width="18" customWidth="1"/>
  </cols>
  <sheetData>
    <row r="1" spans="1:59" x14ac:dyDescent="0.3">
      <c r="B1" s="3">
        <f t="shared" ref="B1:AK1" ca="1" si="0">IFERROR(SUM(LEFT(INDIRECT(ADDRESS(8,COLUMN(),1,0),FALSE),4)),"")</f>
        <v>1983</v>
      </c>
      <c r="C1" s="3">
        <f t="shared" ca="1" si="0"/>
        <v>1984</v>
      </c>
      <c r="D1" s="3">
        <f t="shared" ca="1" si="0"/>
        <v>1985</v>
      </c>
      <c r="E1" s="3">
        <f t="shared" ca="1" si="0"/>
        <v>1986</v>
      </c>
      <c r="F1" s="3">
        <f t="shared" ca="1" si="0"/>
        <v>1987</v>
      </c>
      <c r="G1" s="3">
        <f t="shared" ca="1" si="0"/>
        <v>1988</v>
      </c>
      <c r="H1" s="3">
        <f t="shared" ca="1" si="0"/>
        <v>1989</v>
      </c>
      <c r="I1" s="3">
        <f t="shared" ca="1" si="0"/>
        <v>1990</v>
      </c>
      <c r="J1" s="3">
        <f t="shared" ca="1" si="0"/>
        <v>1991</v>
      </c>
      <c r="K1" s="3">
        <f t="shared" ca="1" si="0"/>
        <v>1992</v>
      </c>
      <c r="L1" s="3">
        <f t="shared" ca="1" si="0"/>
        <v>1993</v>
      </c>
      <c r="M1" s="3">
        <f t="shared" ca="1" si="0"/>
        <v>1994</v>
      </c>
      <c r="N1" s="3">
        <f t="shared" ca="1" si="0"/>
        <v>1995</v>
      </c>
      <c r="O1" s="3">
        <f t="shared" ca="1" si="0"/>
        <v>1996</v>
      </c>
      <c r="P1" s="3">
        <f t="shared" ca="1" si="0"/>
        <v>1997</v>
      </c>
      <c r="Q1" s="3">
        <f t="shared" ca="1" si="0"/>
        <v>1998</v>
      </c>
      <c r="R1" s="3">
        <f t="shared" ca="1" si="0"/>
        <v>1999</v>
      </c>
      <c r="S1" s="3">
        <f t="shared" ca="1" si="0"/>
        <v>2000</v>
      </c>
      <c r="T1" s="3">
        <f t="shared" ca="1" si="0"/>
        <v>2001</v>
      </c>
      <c r="U1" s="3">
        <f t="shared" ca="1" si="0"/>
        <v>2002</v>
      </c>
      <c r="V1" s="3">
        <f t="shared" ca="1" si="0"/>
        <v>2003</v>
      </c>
      <c r="W1" s="3">
        <f t="shared" ca="1" si="0"/>
        <v>2004</v>
      </c>
      <c r="X1" s="3">
        <f t="shared" ca="1" si="0"/>
        <v>2005</v>
      </c>
      <c r="Y1" s="3">
        <f t="shared" ca="1" si="0"/>
        <v>2006</v>
      </c>
      <c r="Z1" s="3">
        <f t="shared" ca="1" si="0"/>
        <v>2007</v>
      </c>
      <c r="AA1" s="3">
        <f t="shared" ca="1" si="0"/>
        <v>2008</v>
      </c>
      <c r="AB1" s="3">
        <f t="shared" ca="1" si="0"/>
        <v>2009</v>
      </c>
      <c r="AC1" s="3">
        <f t="shared" ca="1" si="0"/>
        <v>2010</v>
      </c>
      <c r="AD1" s="3">
        <f t="shared" ca="1" si="0"/>
        <v>2011</v>
      </c>
      <c r="AE1" s="3">
        <f t="shared" ca="1" si="0"/>
        <v>2012</v>
      </c>
      <c r="AF1" s="3">
        <f t="shared" ca="1" si="0"/>
        <v>2013</v>
      </c>
      <c r="AG1" s="3">
        <f t="shared" ca="1" si="0"/>
        <v>2014</v>
      </c>
      <c r="AH1" s="3">
        <f t="shared" ca="1" si="0"/>
        <v>2015</v>
      </c>
      <c r="AI1" s="3">
        <f t="shared" ca="1" si="0"/>
        <v>2016</v>
      </c>
      <c r="AJ1" s="3">
        <f t="shared" ca="1" si="0"/>
        <v>2017</v>
      </c>
      <c r="AK1" s="3">
        <f t="shared" ca="1" si="0"/>
        <v>2018</v>
      </c>
      <c r="AL1" s="2"/>
      <c r="AM1" s="2"/>
      <c r="AN1" s="3">
        <f t="shared" ref="AN1:BG1" ca="1" si="1">IFERROR(SUM(LEFT(INDIRECT(ADDRESS(8,COLUMN(),1,0),FALSE),4)),"")</f>
        <v>2021</v>
      </c>
      <c r="AO1" s="3">
        <f t="shared" ca="1" si="1"/>
        <v>2022</v>
      </c>
      <c r="AP1" s="3"/>
      <c r="AQ1" s="2" t="str">
        <f t="shared" ca="1" si="1"/>
        <v/>
      </c>
      <c r="AR1" s="2" t="str">
        <f t="shared" ca="1" si="1"/>
        <v/>
      </c>
      <c r="AS1" s="2" t="str">
        <f t="shared" ca="1" si="1"/>
        <v/>
      </c>
      <c r="AT1" s="2" t="str">
        <f t="shared" ca="1" si="1"/>
        <v/>
      </c>
      <c r="AU1" s="2" t="str">
        <f t="shared" ca="1" si="1"/>
        <v/>
      </c>
      <c r="AV1" s="2" t="str">
        <f t="shared" ca="1" si="1"/>
        <v/>
      </c>
      <c r="AW1" s="2" t="str">
        <f t="shared" ca="1" si="1"/>
        <v/>
      </c>
      <c r="AX1" s="2" t="str">
        <f t="shared" ca="1" si="1"/>
        <v/>
      </c>
      <c r="AY1" s="2" t="str">
        <f t="shared" ca="1" si="1"/>
        <v/>
      </c>
      <c r="AZ1" s="2" t="str">
        <f t="shared" ca="1" si="1"/>
        <v/>
      </c>
      <c r="BA1" s="2" t="str">
        <f t="shared" ca="1" si="1"/>
        <v/>
      </c>
      <c r="BB1" s="2" t="str">
        <f t="shared" ca="1" si="1"/>
        <v/>
      </c>
      <c r="BC1" s="2" t="str">
        <f t="shared" ca="1" si="1"/>
        <v/>
      </c>
      <c r="BD1" s="2" t="str">
        <f t="shared" ca="1" si="1"/>
        <v/>
      </c>
      <c r="BE1" s="2" t="str">
        <f t="shared" ca="1" si="1"/>
        <v/>
      </c>
      <c r="BF1" s="2" t="str">
        <f t="shared" ca="1" si="1"/>
        <v/>
      </c>
      <c r="BG1" s="2" t="str">
        <f t="shared" ca="1" si="1"/>
        <v/>
      </c>
    </row>
    <row r="2" spans="1:59" x14ac:dyDescent="0.3">
      <c r="A2" s="3" t="str">
        <f>ADDRESS(8,(A3-1),1,)</f>
        <v>$AP$8</v>
      </c>
      <c r="B2" s="357"/>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row>
    <row r="3" spans="1:59" x14ac:dyDescent="0.3">
      <c r="A3" s="106">
        <f>MATCH("Cumulative Total",A8:DF8)</f>
        <v>43</v>
      </c>
      <c r="B3" s="357"/>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row>
    <row r="4" spans="1:59" x14ac:dyDescent="0.3">
      <c r="B4" s="357"/>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row>
    <row r="5" spans="1:59" x14ac:dyDescent="0.3">
      <c r="AB5" s="358"/>
      <c r="AC5" s="358"/>
      <c r="AD5" s="358"/>
      <c r="AE5" s="358"/>
      <c r="AF5" s="358"/>
      <c r="AG5" s="358"/>
      <c r="AH5" s="358"/>
      <c r="AI5" s="358"/>
      <c r="AJ5" s="358"/>
      <c r="AK5" s="358"/>
      <c r="AL5" s="358"/>
      <c r="AM5" s="358"/>
      <c r="AN5" s="358"/>
      <c r="AO5" s="358"/>
      <c r="AP5" s="358"/>
      <c r="AQ5" s="358"/>
    </row>
    <row r="6" spans="1:59" x14ac:dyDescent="0.3">
      <c r="AB6" s="358"/>
      <c r="AC6" s="107"/>
      <c r="AD6" s="107"/>
      <c r="AE6" s="107"/>
      <c r="AF6" s="107"/>
      <c r="AG6" s="107"/>
      <c r="AH6" s="107"/>
      <c r="AI6" s="107"/>
      <c r="AJ6" s="107"/>
      <c r="AK6" s="107"/>
      <c r="AL6" s="107"/>
      <c r="AM6" s="107"/>
      <c r="AN6" s="107"/>
      <c r="AO6" s="107"/>
      <c r="AP6" s="107"/>
    </row>
    <row r="7" spans="1:59" ht="15" thickBot="1" x14ac:dyDescent="0.35">
      <c r="A7" s="108" t="s">
        <v>144</v>
      </c>
    </row>
    <row r="8" spans="1:59" s="3" customFormat="1" x14ac:dyDescent="0.3">
      <c r="A8" s="655" t="s">
        <v>82</v>
      </c>
      <c r="B8" s="359" t="s">
        <v>145</v>
      </c>
      <c r="C8" s="360" t="s">
        <v>146</v>
      </c>
      <c r="D8" s="360" t="s">
        <v>147</v>
      </c>
      <c r="E8" s="360" t="s">
        <v>148</v>
      </c>
      <c r="F8" s="360" t="s">
        <v>149</v>
      </c>
      <c r="G8" s="360" t="s">
        <v>150</v>
      </c>
      <c r="H8" s="360" t="s">
        <v>151</v>
      </c>
      <c r="I8" s="360" t="s">
        <v>152</v>
      </c>
      <c r="J8" s="360" t="s">
        <v>153</v>
      </c>
      <c r="K8" s="360" t="s">
        <v>154</v>
      </c>
      <c r="L8" s="360" t="s">
        <v>155</v>
      </c>
      <c r="M8" s="360" t="s">
        <v>156</v>
      </c>
      <c r="N8" s="360" t="s">
        <v>157</v>
      </c>
      <c r="O8" s="360" t="s">
        <v>158</v>
      </c>
      <c r="P8" s="360" t="s">
        <v>159</v>
      </c>
      <c r="Q8" s="360" t="s">
        <v>160</v>
      </c>
      <c r="R8" s="360" t="s">
        <v>161</v>
      </c>
      <c r="S8" s="360" t="s">
        <v>162</v>
      </c>
      <c r="T8" s="360" t="s">
        <v>163</v>
      </c>
      <c r="U8" s="360" t="s">
        <v>164</v>
      </c>
      <c r="V8" s="360" t="s">
        <v>165</v>
      </c>
      <c r="W8" s="360" t="s">
        <v>166</v>
      </c>
      <c r="X8" s="360" t="s">
        <v>167</v>
      </c>
      <c r="Y8" s="360" t="s">
        <v>168</v>
      </c>
      <c r="Z8" s="360" t="s">
        <v>169</v>
      </c>
      <c r="AA8" s="360" t="s">
        <v>170</v>
      </c>
      <c r="AB8" s="360" t="s">
        <v>171</v>
      </c>
      <c r="AC8" s="360" t="s">
        <v>172</v>
      </c>
      <c r="AD8" s="360" t="s">
        <v>173</v>
      </c>
      <c r="AE8" s="360" t="s">
        <v>174</v>
      </c>
      <c r="AF8" s="360" t="s">
        <v>175</v>
      </c>
      <c r="AG8" s="360" t="s">
        <v>176</v>
      </c>
      <c r="AH8" s="360" t="s">
        <v>100</v>
      </c>
      <c r="AI8" s="360" t="s">
        <v>101</v>
      </c>
      <c r="AJ8" s="360" t="s">
        <v>102</v>
      </c>
      <c r="AK8" s="360" t="s">
        <v>103</v>
      </c>
      <c r="AL8" s="360" t="s">
        <v>104</v>
      </c>
      <c r="AM8" s="360" t="s">
        <v>105</v>
      </c>
      <c r="AN8" s="360" t="s">
        <v>106</v>
      </c>
      <c r="AO8" s="360" t="s">
        <v>107</v>
      </c>
      <c r="AP8" s="360" t="s">
        <v>703</v>
      </c>
      <c r="AQ8" s="657" t="s">
        <v>108</v>
      </c>
      <c r="AR8" s="658"/>
    </row>
    <row r="9" spans="1:59" s="3" customFormat="1" x14ac:dyDescent="0.3">
      <c r="A9" s="656"/>
      <c r="B9" s="337" t="s">
        <v>135</v>
      </c>
      <c r="C9" s="361" t="s">
        <v>135</v>
      </c>
      <c r="D9" s="361" t="s">
        <v>135</v>
      </c>
      <c r="E9" s="362" t="s">
        <v>135</v>
      </c>
      <c r="F9" s="361" t="s">
        <v>135</v>
      </c>
      <c r="G9" s="362" t="s">
        <v>135</v>
      </c>
      <c r="H9" s="361" t="s">
        <v>135</v>
      </c>
      <c r="I9" s="362" t="s">
        <v>135</v>
      </c>
      <c r="J9" s="361" t="s">
        <v>135</v>
      </c>
      <c r="K9" s="362" t="s">
        <v>135</v>
      </c>
      <c r="L9" s="362" t="s">
        <v>135</v>
      </c>
      <c r="M9" s="362" t="s">
        <v>135</v>
      </c>
      <c r="N9" s="362" t="s">
        <v>135</v>
      </c>
      <c r="O9" s="362" t="s">
        <v>135</v>
      </c>
      <c r="P9" s="361" t="s">
        <v>135</v>
      </c>
      <c r="Q9" s="361" t="s">
        <v>135</v>
      </c>
      <c r="R9" s="363" t="s">
        <v>135</v>
      </c>
      <c r="S9" s="363" t="s">
        <v>135</v>
      </c>
      <c r="T9" s="363" t="s">
        <v>135</v>
      </c>
      <c r="U9" s="363" t="s">
        <v>135</v>
      </c>
      <c r="V9" s="363" t="s">
        <v>135</v>
      </c>
      <c r="W9" s="363" t="s">
        <v>135</v>
      </c>
      <c r="X9" s="363" t="s">
        <v>135</v>
      </c>
      <c r="Y9" s="363" t="s">
        <v>135</v>
      </c>
      <c r="Z9" s="364" t="s">
        <v>135</v>
      </c>
      <c r="AA9" s="364" t="s">
        <v>135</v>
      </c>
      <c r="AB9" s="364" t="s">
        <v>135</v>
      </c>
      <c r="AC9" s="364" t="s">
        <v>135</v>
      </c>
      <c r="AD9" s="364" t="s">
        <v>135</v>
      </c>
      <c r="AE9" s="364" t="s">
        <v>135</v>
      </c>
      <c r="AF9" s="364" t="s">
        <v>135</v>
      </c>
      <c r="AG9" s="364" t="s">
        <v>135</v>
      </c>
      <c r="AH9" s="364" t="s">
        <v>135</v>
      </c>
      <c r="AI9" s="364" t="s">
        <v>135</v>
      </c>
      <c r="AJ9" s="364" t="s">
        <v>135</v>
      </c>
      <c r="AK9" s="364" t="s">
        <v>135</v>
      </c>
      <c r="AL9" s="364" t="s">
        <v>135</v>
      </c>
      <c r="AM9" s="364" t="s">
        <v>135</v>
      </c>
      <c r="AN9" s="364" t="s">
        <v>135</v>
      </c>
      <c r="AO9" s="364" t="s">
        <v>135</v>
      </c>
      <c r="AP9" s="364" t="s">
        <v>135</v>
      </c>
      <c r="AQ9" s="365" t="s">
        <v>135</v>
      </c>
      <c r="AR9" s="366" t="s">
        <v>109</v>
      </c>
    </row>
    <row r="10" spans="1:59" x14ac:dyDescent="0.3">
      <c r="A10" s="367" t="s">
        <v>136</v>
      </c>
      <c r="B10" s="368">
        <v>7.6971400000000001</v>
      </c>
      <c r="C10" s="129">
        <v>9.6387029999999996</v>
      </c>
      <c r="D10" s="129">
        <v>9.9236059999999995</v>
      </c>
      <c r="E10" s="129">
        <v>10.540225</v>
      </c>
      <c r="F10" s="129">
        <v>12.132982999999999</v>
      </c>
      <c r="G10" s="129">
        <v>20.797429999999999</v>
      </c>
      <c r="H10" s="129">
        <v>34.349514999999997</v>
      </c>
      <c r="I10" s="129">
        <v>33.894790999999998</v>
      </c>
      <c r="J10" s="129">
        <v>29.315957999999998</v>
      </c>
      <c r="K10" s="129">
        <v>28.715039000000001</v>
      </c>
      <c r="L10" s="129">
        <v>30.737151000000001</v>
      </c>
      <c r="M10" s="129">
        <v>27.484829000000001</v>
      </c>
      <c r="N10" s="129">
        <v>30.194089000000002</v>
      </c>
      <c r="O10" s="129">
        <v>33.739736000000001</v>
      </c>
      <c r="P10" s="129">
        <v>36.247579999999999</v>
      </c>
      <c r="Q10" s="129">
        <v>39.138672</v>
      </c>
      <c r="R10" s="129">
        <v>40.738370000000003</v>
      </c>
      <c r="S10" s="129">
        <v>55.512739000000003</v>
      </c>
      <c r="T10" s="129">
        <v>61.408085</v>
      </c>
      <c r="U10" s="129">
        <v>54.952314000000001</v>
      </c>
      <c r="V10" s="129">
        <v>49.998033</v>
      </c>
      <c r="W10" s="129">
        <v>54.578682000000001</v>
      </c>
      <c r="X10" s="129">
        <v>64.090699999999998</v>
      </c>
      <c r="Y10" s="129">
        <v>83.444013999999996</v>
      </c>
      <c r="Z10" s="129">
        <v>80.535398000000001</v>
      </c>
      <c r="AA10" s="129">
        <v>75.982727999999994</v>
      </c>
      <c r="AB10" s="129">
        <v>61.860134000000002</v>
      </c>
      <c r="AC10" s="129">
        <v>66.136236999999994</v>
      </c>
      <c r="AD10" s="129">
        <v>68.320773000000003</v>
      </c>
      <c r="AE10" s="129">
        <v>65.114003999999994</v>
      </c>
      <c r="AF10" s="129">
        <v>70.419138000000004</v>
      </c>
      <c r="AG10" s="129">
        <v>77.738389999999995</v>
      </c>
      <c r="AH10" s="129">
        <v>84.323525930000002</v>
      </c>
      <c r="AI10" s="129">
        <v>81.082360930000007</v>
      </c>
      <c r="AJ10" s="129">
        <v>99.231865760000005</v>
      </c>
      <c r="AK10" s="129">
        <v>135.00388719999998</v>
      </c>
      <c r="AL10" s="129">
        <v>113.60258414</v>
      </c>
      <c r="AM10" s="129">
        <v>92.446233109999994</v>
      </c>
      <c r="AN10" s="129">
        <v>101.09</v>
      </c>
      <c r="AO10" s="129">
        <v>113.64670525</v>
      </c>
      <c r="AP10" s="129">
        <v>109.12560028000001</v>
      </c>
      <c r="AQ10" s="369">
        <f t="shared" ref="AQ10:AQ22" si="2">SUM(B10:AP10)</f>
        <v>2354.9299486</v>
      </c>
      <c r="AR10" s="370">
        <f t="shared" ref="AR10:AR20" si="3">AQ10/AQ$22</f>
        <v>1.7644717513072394E-2</v>
      </c>
    </row>
    <row r="11" spans="1:59" x14ac:dyDescent="0.3">
      <c r="A11" s="367" t="s">
        <v>137</v>
      </c>
      <c r="B11" s="341" t="s">
        <v>96</v>
      </c>
      <c r="C11" s="371" t="s">
        <v>96</v>
      </c>
      <c r="D11" s="371" t="s">
        <v>96</v>
      </c>
      <c r="E11" s="371" t="s">
        <v>96</v>
      </c>
      <c r="F11" s="371" t="s">
        <v>96</v>
      </c>
      <c r="G11" s="371" t="s">
        <v>96</v>
      </c>
      <c r="H11" s="371" t="s">
        <v>96</v>
      </c>
      <c r="I11" s="371" t="s">
        <v>96</v>
      </c>
      <c r="J11" s="371" t="s">
        <v>96</v>
      </c>
      <c r="K11" s="371" t="s">
        <v>96</v>
      </c>
      <c r="L11" s="371" t="s">
        <v>96</v>
      </c>
      <c r="M11" s="371" t="s">
        <v>96</v>
      </c>
      <c r="N11" s="371" t="s">
        <v>96</v>
      </c>
      <c r="O11" s="371" t="s">
        <v>96</v>
      </c>
      <c r="P11" s="371" t="s">
        <v>96</v>
      </c>
      <c r="Q11" s="371" t="s">
        <v>96</v>
      </c>
      <c r="R11" s="371" t="s">
        <v>96</v>
      </c>
      <c r="S11" s="371" t="s">
        <v>96</v>
      </c>
      <c r="T11" s="371" t="s">
        <v>96</v>
      </c>
      <c r="U11" s="371" t="s">
        <v>96</v>
      </c>
      <c r="V11" s="371" t="s">
        <v>96</v>
      </c>
      <c r="W11" s="371" t="s">
        <v>96</v>
      </c>
      <c r="X11" s="371" t="s">
        <v>96</v>
      </c>
      <c r="Y11" s="371" t="s">
        <v>96</v>
      </c>
      <c r="Z11" s="371" t="s">
        <v>96</v>
      </c>
      <c r="AA11" s="371" t="s">
        <v>96</v>
      </c>
      <c r="AB11" s="371" t="s">
        <v>96</v>
      </c>
      <c r="AC11" s="371" t="s">
        <v>96</v>
      </c>
      <c r="AD11" s="371" t="s">
        <v>96</v>
      </c>
      <c r="AE11" s="371" t="s">
        <v>96</v>
      </c>
      <c r="AF11" s="371">
        <v>77.128089000000003</v>
      </c>
      <c r="AG11" s="371">
        <v>67.389606000000001</v>
      </c>
      <c r="AH11" s="371">
        <v>59.238461059999899</v>
      </c>
      <c r="AI11" s="371">
        <v>59.915817759999996</v>
      </c>
      <c r="AJ11" s="371">
        <v>70.778183749999997</v>
      </c>
      <c r="AK11" s="371">
        <v>76.166555160000001</v>
      </c>
      <c r="AL11" s="371">
        <v>67.643884630000002</v>
      </c>
      <c r="AM11" s="371">
        <v>70.545597279999996</v>
      </c>
      <c r="AN11" s="371">
        <v>104.58</v>
      </c>
      <c r="AO11" s="371">
        <v>74.81588081000001</v>
      </c>
      <c r="AP11" s="371">
        <v>51.985805689999999</v>
      </c>
      <c r="AQ11" s="372">
        <f t="shared" si="2"/>
        <v>780.18788113999994</v>
      </c>
      <c r="AR11" s="373">
        <f t="shared" si="3"/>
        <v>5.8456918338576358E-3</v>
      </c>
    </row>
    <row r="12" spans="1:59" x14ac:dyDescent="0.3">
      <c r="A12" s="374" t="s">
        <v>138</v>
      </c>
      <c r="B12" s="368">
        <v>3.8021669999999999</v>
      </c>
      <c r="C12" s="129">
        <v>3.0626319999999998</v>
      </c>
      <c r="D12" s="129">
        <v>2.864655</v>
      </c>
      <c r="E12" s="129">
        <v>13.109394999999999</v>
      </c>
      <c r="F12" s="129">
        <v>12.221752</v>
      </c>
      <c r="G12" s="129">
        <v>12.055669999999999</v>
      </c>
      <c r="H12" s="129">
        <v>27.202476000000001</v>
      </c>
      <c r="I12" s="129">
        <v>27.289552</v>
      </c>
      <c r="J12" s="129">
        <v>30.985306000000001</v>
      </c>
      <c r="K12" s="129">
        <v>40.819425000000003</v>
      </c>
      <c r="L12" s="129">
        <v>40.201661999999999</v>
      </c>
      <c r="M12" s="129">
        <v>28.551514000000001</v>
      </c>
      <c r="N12" s="129">
        <v>37.972557000000002</v>
      </c>
      <c r="O12" s="129">
        <v>35.266731</v>
      </c>
      <c r="P12" s="129">
        <v>40.086339000000002</v>
      </c>
      <c r="Q12" s="129">
        <v>54.940671999999999</v>
      </c>
      <c r="R12" s="129">
        <v>62.496274999999997</v>
      </c>
      <c r="S12" s="129">
        <v>88.054636000000002</v>
      </c>
      <c r="T12" s="129">
        <v>62.636372000000001</v>
      </c>
      <c r="U12" s="129">
        <v>89.292743999999999</v>
      </c>
      <c r="V12" s="129">
        <v>45.022368999999998</v>
      </c>
      <c r="W12" s="129">
        <v>32.635114999999999</v>
      </c>
      <c r="X12" s="129">
        <v>48.225088</v>
      </c>
      <c r="Y12" s="129">
        <v>20.969208999999999</v>
      </c>
      <c r="Z12" s="129">
        <v>43.436045</v>
      </c>
      <c r="AA12" s="129">
        <v>18.838566</v>
      </c>
      <c r="AB12" s="129">
        <v>19.192682000000001</v>
      </c>
      <c r="AC12" s="129">
        <v>15.746836999999999</v>
      </c>
      <c r="AD12" s="129">
        <v>15.183261999999999</v>
      </c>
      <c r="AE12" s="129">
        <v>15.966746000000001</v>
      </c>
      <c r="AF12" s="129">
        <v>20.482859000000001</v>
      </c>
      <c r="AG12" s="129">
        <v>15.40889</v>
      </c>
      <c r="AH12" s="129">
        <v>18.324337539999998</v>
      </c>
      <c r="AI12" s="129">
        <v>13.01965483</v>
      </c>
      <c r="AJ12" s="129">
        <v>12.09403223</v>
      </c>
      <c r="AK12" s="129">
        <v>11.624602320000001</v>
      </c>
      <c r="AL12" s="129">
        <v>11.33563165</v>
      </c>
      <c r="AM12" s="129">
        <v>9.4321085500000006</v>
      </c>
      <c r="AN12" s="129">
        <v>0.46</v>
      </c>
      <c r="AO12" s="129">
        <v>0</v>
      </c>
      <c r="AP12" s="129">
        <v>0</v>
      </c>
      <c r="AQ12" s="369">
        <f t="shared" si="2"/>
        <v>1100.3105671200001</v>
      </c>
      <c r="AR12" s="370">
        <f t="shared" si="3"/>
        <v>8.2442660959078026E-3</v>
      </c>
    </row>
    <row r="13" spans="1:59" x14ac:dyDescent="0.3">
      <c r="A13" s="367" t="s">
        <v>87</v>
      </c>
      <c r="B13" s="341">
        <v>8.7825E-2</v>
      </c>
      <c r="C13" s="371">
        <v>0.100622</v>
      </c>
      <c r="D13" s="371">
        <v>0.10366300000000001</v>
      </c>
      <c r="E13" s="371">
        <v>0.111974</v>
      </c>
      <c r="F13" s="371">
        <v>0.12281400000000001</v>
      </c>
      <c r="G13" s="371">
        <v>0.21961</v>
      </c>
      <c r="H13" s="371">
        <v>0.19936200000000001</v>
      </c>
      <c r="I13" s="371">
        <v>0.29169099999999998</v>
      </c>
      <c r="J13" s="371">
        <v>0.204375</v>
      </c>
      <c r="K13" s="371">
        <v>0.25411499999999998</v>
      </c>
      <c r="L13" s="371">
        <v>0.28651500000000002</v>
      </c>
      <c r="M13" s="371">
        <v>0.386544</v>
      </c>
      <c r="N13" s="371">
        <v>0.36636800000000003</v>
      </c>
      <c r="O13" s="371">
        <v>0.46406599999999998</v>
      </c>
      <c r="P13" s="371">
        <v>0.36513299999999999</v>
      </c>
      <c r="Q13" s="371">
        <v>28.296903</v>
      </c>
      <c r="R13" s="371">
        <v>33.446114000000001</v>
      </c>
      <c r="S13" s="371">
        <v>65.638722000000001</v>
      </c>
      <c r="T13" s="371">
        <v>79.808780999999996</v>
      </c>
      <c r="U13" s="371">
        <v>85.356088999999997</v>
      </c>
      <c r="V13" s="371">
        <v>79.500095000000002</v>
      </c>
      <c r="W13" s="371">
        <v>72.914303000000004</v>
      </c>
      <c r="X13" s="371">
        <v>81.622995000000003</v>
      </c>
      <c r="Y13" s="371">
        <v>104.88511099999999</v>
      </c>
      <c r="Z13" s="371">
        <v>99.481977000000001</v>
      </c>
      <c r="AA13" s="371">
        <v>116.420727</v>
      </c>
      <c r="AB13" s="371">
        <v>152.528649</v>
      </c>
      <c r="AC13" s="371">
        <v>197.79251600000001</v>
      </c>
      <c r="AD13" s="371">
        <v>224.72959499999999</v>
      </c>
      <c r="AE13" s="371">
        <v>220.13046399999999</v>
      </c>
      <c r="AF13" s="371">
        <v>215.830725</v>
      </c>
      <c r="AG13" s="371">
        <v>218.59672399999999</v>
      </c>
      <c r="AH13" s="371">
        <v>239.5538248</v>
      </c>
      <c r="AI13" s="371">
        <v>262.87380459000002</v>
      </c>
      <c r="AJ13" s="371">
        <v>272.77052816000003</v>
      </c>
      <c r="AK13" s="371">
        <v>291.41580162000002</v>
      </c>
      <c r="AL13" s="371">
        <v>361.42894910000001</v>
      </c>
      <c r="AM13" s="371">
        <v>415.65066354000004</v>
      </c>
      <c r="AN13" s="371">
        <v>412.29</v>
      </c>
      <c r="AO13" s="371">
        <v>436.01871603000006</v>
      </c>
      <c r="AP13" s="371">
        <v>496.75666791999981</v>
      </c>
      <c r="AQ13" s="372">
        <f t="shared" si="2"/>
        <v>5269.3041227600006</v>
      </c>
      <c r="AR13" s="373">
        <f t="shared" si="3"/>
        <v>3.9481167069042367E-2</v>
      </c>
    </row>
    <row r="14" spans="1:59" x14ac:dyDescent="0.3">
      <c r="A14" s="367" t="s">
        <v>88</v>
      </c>
      <c r="B14" s="368">
        <v>78.165503000000001</v>
      </c>
      <c r="C14" s="129">
        <v>88.531268999999995</v>
      </c>
      <c r="D14" s="129">
        <v>101.950692</v>
      </c>
      <c r="E14" s="129">
        <v>92.780315000000002</v>
      </c>
      <c r="F14" s="129">
        <v>94.807770000000005</v>
      </c>
      <c r="G14" s="129">
        <v>92.722783000000007</v>
      </c>
      <c r="H14" s="129">
        <v>112.532211</v>
      </c>
      <c r="I14" s="129">
        <v>130.93514099999999</v>
      </c>
      <c r="J14" s="129">
        <v>152.88022799999999</v>
      </c>
      <c r="K14" s="129">
        <v>152.67407299999999</v>
      </c>
      <c r="L14" s="129">
        <v>173.90010899999999</v>
      </c>
      <c r="M14" s="129">
        <v>165.40684999999999</v>
      </c>
      <c r="N14" s="129">
        <v>181.10211000000001</v>
      </c>
      <c r="O14" s="129">
        <v>186.81940299999999</v>
      </c>
      <c r="P14" s="129">
        <v>224.58256499999999</v>
      </c>
      <c r="Q14" s="129">
        <v>231.977012</v>
      </c>
      <c r="R14" s="129">
        <v>198.95226500000001</v>
      </c>
      <c r="S14" s="129">
        <v>270.18821700000001</v>
      </c>
      <c r="T14" s="129">
        <v>276.08928600000002</v>
      </c>
      <c r="U14" s="129">
        <v>286.70755200000002</v>
      </c>
      <c r="V14" s="129">
        <v>293.67516599999999</v>
      </c>
      <c r="W14" s="129">
        <v>380.332086</v>
      </c>
      <c r="X14" s="129">
        <v>679.62847699999998</v>
      </c>
      <c r="Y14" s="129">
        <v>851.06961100000001</v>
      </c>
      <c r="Z14" s="129">
        <v>964.42994099999999</v>
      </c>
      <c r="AA14" s="129">
        <v>1946.717875</v>
      </c>
      <c r="AB14" s="129">
        <v>1495.438193</v>
      </c>
      <c r="AC14" s="129">
        <v>3358.6286759999998</v>
      </c>
      <c r="AD14" s="129">
        <v>3831.2677290000001</v>
      </c>
      <c r="AE14" s="129">
        <v>3654.716731</v>
      </c>
      <c r="AF14" s="129">
        <v>5307.5205509999996</v>
      </c>
      <c r="AG14" s="129">
        <v>4389.8428029999995</v>
      </c>
      <c r="AH14" s="129">
        <v>3472.7656642900001</v>
      </c>
      <c r="AI14" s="129">
        <v>4619.5509469399994</v>
      </c>
      <c r="AJ14" s="129">
        <v>4476.8708212600004</v>
      </c>
      <c r="AK14" s="129">
        <v>4884.1962673500002</v>
      </c>
      <c r="AL14" s="129">
        <v>7802.7205386000005</v>
      </c>
      <c r="AM14" s="129">
        <v>9796.7863337999988</v>
      </c>
      <c r="AN14" s="129">
        <v>10847.96</v>
      </c>
      <c r="AO14" s="129">
        <v>9393.1288647400033</v>
      </c>
      <c r="AP14" s="129">
        <v>10372.32968635</v>
      </c>
      <c r="AQ14" s="369">
        <f t="shared" si="2"/>
        <v>96113.282316330005</v>
      </c>
      <c r="AR14" s="370">
        <f t="shared" si="3"/>
        <v>0.72014529210689382</v>
      </c>
    </row>
    <row r="15" spans="1:59" x14ac:dyDescent="0.3">
      <c r="A15" s="367" t="s">
        <v>89</v>
      </c>
      <c r="B15" s="341" t="s">
        <v>96</v>
      </c>
      <c r="C15" s="371" t="s">
        <v>96</v>
      </c>
      <c r="D15" s="371" t="s">
        <v>96</v>
      </c>
      <c r="E15" s="371" t="s">
        <v>96</v>
      </c>
      <c r="F15" s="371" t="s">
        <v>96</v>
      </c>
      <c r="G15" s="371" t="s">
        <v>96</v>
      </c>
      <c r="H15" s="371" t="s">
        <v>96</v>
      </c>
      <c r="I15" s="371" t="s">
        <v>96</v>
      </c>
      <c r="J15" s="371" t="s">
        <v>96</v>
      </c>
      <c r="K15" s="371" t="s">
        <v>96</v>
      </c>
      <c r="L15" s="371" t="s">
        <v>96</v>
      </c>
      <c r="M15" s="371" t="s">
        <v>96</v>
      </c>
      <c r="N15" s="371" t="s">
        <v>96</v>
      </c>
      <c r="O15" s="371" t="s">
        <v>96</v>
      </c>
      <c r="P15" s="371" t="s">
        <v>96</v>
      </c>
      <c r="Q15" s="371" t="s">
        <v>96</v>
      </c>
      <c r="R15" s="371" t="s">
        <v>96</v>
      </c>
      <c r="S15" s="371" t="s">
        <v>96</v>
      </c>
      <c r="T15" s="371" t="s">
        <v>96</v>
      </c>
      <c r="U15" s="371" t="s">
        <v>96</v>
      </c>
      <c r="V15" s="371" t="s">
        <v>96</v>
      </c>
      <c r="W15" s="371" t="s">
        <v>96</v>
      </c>
      <c r="X15" s="371" t="s">
        <v>96</v>
      </c>
      <c r="Y15" s="371" t="s">
        <v>96</v>
      </c>
      <c r="Z15" s="371" t="s">
        <v>96</v>
      </c>
      <c r="AA15" s="371" t="s">
        <v>96</v>
      </c>
      <c r="AB15" s="371" t="s">
        <v>96</v>
      </c>
      <c r="AC15" s="371" t="s">
        <v>96</v>
      </c>
      <c r="AD15" s="371" t="s">
        <v>96</v>
      </c>
      <c r="AE15" s="371" t="s">
        <v>96</v>
      </c>
      <c r="AF15" s="371" t="s">
        <v>96</v>
      </c>
      <c r="AG15" s="371" t="s">
        <v>96</v>
      </c>
      <c r="AH15" s="371" t="s">
        <v>96</v>
      </c>
      <c r="AI15" s="371">
        <v>15.474308539999999</v>
      </c>
      <c r="AJ15" s="371">
        <v>78.713769020000001</v>
      </c>
      <c r="AK15" s="371">
        <v>83.247251640000002</v>
      </c>
      <c r="AL15" s="371">
        <v>66.31183111</v>
      </c>
      <c r="AM15" s="371">
        <v>43.324947219999999</v>
      </c>
      <c r="AN15" s="371">
        <v>150.43</v>
      </c>
      <c r="AO15" s="371">
        <v>929.86525984999992</v>
      </c>
      <c r="AP15" s="371">
        <v>710.17382730000008</v>
      </c>
      <c r="AQ15" s="372">
        <f t="shared" si="2"/>
        <v>2077.54119468</v>
      </c>
      <c r="AR15" s="373">
        <f t="shared" si="3"/>
        <v>1.556633458404672E-2</v>
      </c>
    </row>
    <row r="16" spans="1:59" x14ac:dyDescent="0.3">
      <c r="A16" s="367" t="s">
        <v>90</v>
      </c>
      <c r="B16" s="368" t="s">
        <v>96</v>
      </c>
      <c r="C16" s="129" t="s">
        <v>96</v>
      </c>
      <c r="D16" s="129" t="s">
        <v>96</v>
      </c>
      <c r="E16" s="129" t="s">
        <v>96</v>
      </c>
      <c r="F16" s="129" t="s">
        <v>96</v>
      </c>
      <c r="G16" s="129" t="s">
        <v>96</v>
      </c>
      <c r="H16" s="129" t="s">
        <v>96</v>
      </c>
      <c r="I16" s="129" t="s">
        <v>96</v>
      </c>
      <c r="J16" s="129" t="s">
        <v>96</v>
      </c>
      <c r="K16" s="129" t="s">
        <v>96</v>
      </c>
      <c r="L16" s="129" t="s">
        <v>96</v>
      </c>
      <c r="M16" s="129" t="s">
        <v>96</v>
      </c>
      <c r="N16" s="129" t="s">
        <v>96</v>
      </c>
      <c r="O16" s="129" t="s">
        <v>96</v>
      </c>
      <c r="P16" s="129" t="s">
        <v>96</v>
      </c>
      <c r="Q16" s="129" t="s">
        <v>96</v>
      </c>
      <c r="R16" s="129" t="s">
        <v>96</v>
      </c>
      <c r="S16" s="129" t="s">
        <v>96</v>
      </c>
      <c r="T16" s="129" t="s">
        <v>96</v>
      </c>
      <c r="U16" s="129" t="s">
        <v>96</v>
      </c>
      <c r="V16" s="129" t="s">
        <v>96</v>
      </c>
      <c r="W16" s="129" t="s">
        <v>96</v>
      </c>
      <c r="X16" s="129" t="s">
        <v>96</v>
      </c>
      <c r="Y16" s="129" t="s">
        <v>96</v>
      </c>
      <c r="Z16" s="129">
        <v>21.110828000000001</v>
      </c>
      <c r="AA16" s="129">
        <v>26.681512999999999</v>
      </c>
      <c r="AB16" s="129">
        <v>22.008559000000002</v>
      </c>
      <c r="AC16" s="129">
        <v>19.937428000000001</v>
      </c>
      <c r="AD16" s="129">
        <v>19.220492</v>
      </c>
      <c r="AE16" s="129">
        <v>27.514333000000001</v>
      </c>
      <c r="AF16" s="129">
        <v>16.393497</v>
      </c>
      <c r="AG16" s="129">
        <v>11.965647000000001</v>
      </c>
      <c r="AH16" s="129">
        <v>16.818397469999997</v>
      </c>
      <c r="AI16" s="129">
        <v>14.31715741</v>
      </c>
      <c r="AJ16" s="129">
        <v>12.290989439999999</v>
      </c>
      <c r="AK16" s="129">
        <v>18.559685050000002</v>
      </c>
      <c r="AL16" s="129">
        <v>23.004162609999998</v>
      </c>
      <c r="AM16" s="129">
        <v>31.04237371</v>
      </c>
      <c r="AN16" s="129">
        <v>44.19</v>
      </c>
      <c r="AO16" s="129">
        <v>46.587669900000002</v>
      </c>
      <c r="AP16" s="129">
        <v>43.224860360000001</v>
      </c>
      <c r="AQ16" s="369">
        <f t="shared" si="2"/>
        <v>414.86759294999996</v>
      </c>
      <c r="AR16" s="370">
        <f t="shared" si="3"/>
        <v>3.1084667666156727E-3</v>
      </c>
    </row>
    <row r="17" spans="1:56" x14ac:dyDescent="0.3">
      <c r="A17" s="367" t="s">
        <v>91</v>
      </c>
      <c r="B17" s="341">
        <v>4.6538279999999999</v>
      </c>
      <c r="C17" s="371">
        <v>5.7121950000000004</v>
      </c>
      <c r="D17" s="371">
        <v>6.0884090000000004</v>
      </c>
      <c r="E17" s="371">
        <v>4.4207879999999999</v>
      </c>
      <c r="F17" s="371">
        <v>3.8279879999999999</v>
      </c>
      <c r="G17" s="371">
        <v>9.6334750000000007</v>
      </c>
      <c r="H17" s="371">
        <v>10.114608</v>
      </c>
      <c r="I17" s="371">
        <v>10.724031</v>
      </c>
      <c r="J17" s="371">
        <v>11.131740000000001</v>
      </c>
      <c r="K17" s="371">
        <v>9.6005939999999992</v>
      </c>
      <c r="L17" s="371">
        <v>8.3045650000000002</v>
      </c>
      <c r="M17" s="371">
        <v>18.810777999999999</v>
      </c>
      <c r="N17" s="371">
        <v>25.296064999999999</v>
      </c>
      <c r="O17" s="371">
        <v>26.009848999999999</v>
      </c>
      <c r="P17" s="371">
        <v>24.456824000000001</v>
      </c>
      <c r="Q17" s="371">
        <v>21.464409</v>
      </c>
      <c r="R17" s="371">
        <v>36.312728999999997</v>
      </c>
      <c r="S17" s="371">
        <v>60.573799999999999</v>
      </c>
      <c r="T17" s="371">
        <v>49.266666999999998</v>
      </c>
      <c r="U17" s="371">
        <v>59.950943000000002</v>
      </c>
      <c r="V17" s="371">
        <v>72.781351000000001</v>
      </c>
      <c r="W17" s="371">
        <v>88.353630999999993</v>
      </c>
      <c r="X17" s="371">
        <v>82.677958000000004</v>
      </c>
      <c r="Y17" s="371">
        <v>177.750033</v>
      </c>
      <c r="Z17" s="371">
        <v>158.40464700000001</v>
      </c>
      <c r="AA17" s="371">
        <v>81.829168999999993</v>
      </c>
      <c r="AB17" s="371">
        <v>83.359667999999999</v>
      </c>
      <c r="AC17" s="371">
        <v>112.934304</v>
      </c>
      <c r="AD17" s="371">
        <v>89.827389999999994</v>
      </c>
      <c r="AE17" s="371">
        <v>92.813249999999996</v>
      </c>
      <c r="AF17" s="371">
        <v>78.290452000000002</v>
      </c>
      <c r="AG17" s="371">
        <v>82.878023999999996</v>
      </c>
      <c r="AH17" s="371">
        <v>54.093241990000003</v>
      </c>
      <c r="AI17" s="371">
        <v>49.169482909999999</v>
      </c>
      <c r="AJ17" s="371">
        <v>56.957900969999997</v>
      </c>
      <c r="AK17" s="371">
        <v>65.991181929999996</v>
      </c>
      <c r="AL17" s="371">
        <v>76.155816979999997</v>
      </c>
      <c r="AM17" s="371">
        <v>83.530749110000002</v>
      </c>
      <c r="AN17" s="371">
        <v>107.58</v>
      </c>
      <c r="AO17" s="371">
        <v>139.69026995000002</v>
      </c>
      <c r="AP17" s="371">
        <v>98.503548449999997</v>
      </c>
      <c r="AQ17" s="372">
        <f t="shared" si="2"/>
        <v>2339.9263542900003</v>
      </c>
      <c r="AR17" s="373">
        <f t="shared" si="3"/>
        <v>1.7532300503199951E-2</v>
      </c>
    </row>
    <row r="18" spans="1:56" x14ac:dyDescent="0.3">
      <c r="A18" s="367" t="s">
        <v>140</v>
      </c>
      <c r="B18" s="368">
        <v>5.5610059999999999</v>
      </c>
      <c r="C18" s="129">
        <v>6.3930509999999998</v>
      </c>
      <c r="D18" s="129">
        <v>8.0271319999999999</v>
      </c>
      <c r="E18" s="129">
        <v>7.9095449999999996</v>
      </c>
      <c r="F18" s="129">
        <v>13.068519999999999</v>
      </c>
      <c r="G18" s="129">
        <v>20.034945</v>
      </c>
      <c r="H18" s="129">
        <v>28.046506000000001</v>
      </c>
      <c r="I18" s="129">
        <v>28.849383</v>
      </c>
      <c r="J18" s="129">
        <v>33.842216999999998</v>
      </c>
      <c r="K18" s="129">
        <v>37.293396999999999</v>
      </c>
      <c r="L18" s="129">
        <v>33.044978999999998</v>
      </c>
      <c r="M18" s="129">
        <v>36.107399999999998</v>
      </c>
      <c r="N18" s="129">
        <v>51.626274000000002</v>
      </c>
      <c r="O18" s="129">
        <v>48.774479999999997</v>
      </c>
      <c r="P18" s="129">
        <v>49.092109000000001</v>
      </c>
      <c r="Q18" s="129">
        <v>52.704507999999997</v>
      </c>
      <c r="R18" s="129">
        <v>59.839576000000001</v>
      </c>
      <c r="S18" s="129">
        <v>69.642539999999997</v>
      </c>
      <c r="T18" s="129">
        <v>70.628006999999997</v>
      </c>
      <c r="U18" s="129">
        <v>74.150046000000003</v>
      </c>
      <c r="V18" s="129">
        <v>76.273469000000006</v>
      </c>
      <c r="W18" s="129">
        <v>77.409141000000005</v>
      </c>
      <c r="X18" s="129">
        <v>101.51466000000001</v>
      </c>
      <c r="Y18" s="129">
        <v>140.46548799999999</v>
      </c>
      <c r="Z18" s="129">
        <v>118.23414699999999</v>
      </c>
      <c r="AA18" s="129">
        <v>104.42389</v>
      </c>
      <c r="AB18" s="129">
        <v>107.688425</v>
      </c>
      <c r="AC18" s="129">
        <v>145.17455899999999</v>
      </c>
      <c r="AD18" s="129">
        <v>116.56926199999999</v>
      </c>
      <c r="AE18" s="129">
        <v>142.10414299999999</v>
      </c>
      <c r="AF18" s="129">
        <v>73.008505999999997</v>
      </c>
      <c r="AG18" s="129">
        <v>72.449831000000003</v>
      </c>
      <c r="AH18" s="129">
        <v>69.692153939999997</v>
      </c>
      <c r="AI18" s="129">
        <v>53.0669874499999</v>
      </c>
      <c r="AJ18" s="129">
        <v>69.636069689999999</v>
      </c>
      <c r="AK18" s="129">
        <v>86.701707720000101</v>
      </c>
      <c r="AL18" s="129">
        <v>78.304997260000007</v>
      </c>
      <c r="AM18" s="129">
        <v>73.271480100000105</v>
      </c>
      <c r="AN18" s="129">
        <v>91.6</v>
      </c>
      <c r="AO18" s="129">
        <v>78.697871399999997</v>
      </c>
      <c r="AP18" s="129">
        <v>101.26134295000011</v>
      </c>
      <c r="AQ18" s="369">
        <f t="shared" si="2"/>
        <v>2712.1837525100004</v>
      </c>
      <c r="AR18" s="375">
        <f t="shared" si="3"/>
        <v>2.0321503060009797E-2</v>
      </c>
    </row>
    <row r="19" spans="1:56" x14ac:dyDescent="0.3">
      <c r="A19" s="367" t="s">
        <v>92</v>
      </c>
      <c r="B19" s="341">
        <v>18.141971999999999</v>
      </c>
      <c r="C19" s="371">
        <v>17.555803000000001</v>
      </c>
      <c r="D19" s="371">
        <v>34.023504000000003</v>
      </c>
      <c r="E19" s="371">
        <v>27.409625999999999</v>
      </c>
      <c r="F19" s="371">
        <v>30.044163999999999</v>
      </c>
      <c r="G19" s="371">
        <v>20.579606999999999</v>
      </c>
      <c r="H19" s="371">
        <v>51.777318999999999</v>
      </c>
      <c r="I19" s="371">
        <v>92.427104999999997</v>
      </c>
      <c r="J19" s="371">
        <v>86.520780999999999</v>
      </c>
      <c r="K19" s="371">
        <v>79.728049999999996</v>
      </c>
      <c r="L19" s="371">
        <v>72.886319</v>
      </c>
      <c r="M19" s="371">
        <v>113.736997</v>
      </c>
      <c r="N19" s="371">
        <v>159.405226</v>
      </c>
      <c r="O19" s="371">
        <v>229.74677199999999</v>
      </c>
      <c r="P19" s="371">
        <v>247.40349000000001</v>
      </c>
      <c r="Q19" s="371">
        <v>176.94987699999999</v>
      </c>
      <c r="R19" s="371">
        <v>344.89695799999998</v>
      </c>
      <c r="S19" s="371">
        <v>526.71487500000001</v>
      </c>
      <c r="T19" s="371">
        <v>428.286945</v>
      </c>
      <c r="U19" s="371">
        <v>488.56950000000001</v>
      </c>
      <c r="V19" s="371">
        <v>416.33150599999999</v>
      </c>
      <c r="W19" s="371">
        <v>549.66091300000005</v>
      </c>
      <c r="X19" s="371">
        <v>678.82588699999997</v>
      </c>
      <c r="Y19" s="371">
        <v>714.09106699999995</v>
      </c>
      <c r="Z19" s="371">
        <v>811.02602400000001</v>
      </c>
      <c r="AA19" s="371">
        <v>868.76158099999998</v>
      </c>
      <c r="AB19" s="371">
        <v>21.925331</v>
      </c>
      <c r="AC19" s="371">
        <v>21.535059</v>
      </c>
      <c r="AD19" s="371">
        <v>18.749521999999999</v>
      </c>
      <c r="AE19" s="371">
        <v>18.187507</v>
      </c>
      <c r="AF19" s="371">
        <v>11.493467000000001</v>
      </c>
      <c r="AG19" s="371">
        <v>8.7168390000000002</v>
      </c>
      <c r="AH19" s="371">
        <v>7.2391104200000003</v>
      </c>
      <c r="AI19" s="371">
        <v>3.4318297100000001</v>
      </c>
      <c r="AJ19" s="371">
        <v>3.2122615699999999</v>
      </c>
      <c r="AK19" s="371">
        <v>11.675785679999999</v>
      </c>
      <c r="AL19" s="371">
        <v>6.9222543400000003</v>
      </c>
      <c r="AM19" s="371">
        <v>2.4262555299999997</v>
      </c>
      <c r="AN19" s="371">
        <v>8.52</v>
      </c>
      <c r="AO19" s="371">
        <v>15.285560609999997</v>
      </c>
      <c r="AP19" s="371">
        <v>22.908999769999994</v>
      </c>
      <c r="AQ19" s="372">
        <f t="shared" si="2"/>
        <v>7467.7316506300003</v>
      </c>
      <c r="AR19" s="373">
        <f t="shared" si="3"/>
        <v>5.5953263287993243E-2</v>
      </c>
      <c r="AV19" s="376"/>
    </row>
    <row r="20" spans="1:56" x14ac:dyDescent="0.3">
      <c r="A20" s="367" t="s">
        <v>141</v>
      </c>
      <c r="B20" s="368" t="s">
        <v>96</v>
      </c>
      <c r="C20" s="129" t="s">
        <v>96</v>
      </c>
      <c r="D20" s="129" t="s">
        <v>96</v>
      </c>
      <c r="E20" s="129" t="s">
        <v>96</v>
      </c>
      <c r="F20" s="129" t="s">
        <v>96</v>
      </c>
      <c r="G20" s="129" t="s">
        <v>96</v>
      </c>
      <c r="H20" s="129" t="s">
        <v>96</v>
      </c>
      <c r="I20" s="129" t="s">
        <v>96</v>
      </c>
      <c r="J20" s="129" t="s">
        <v>96</v>
      </c>
      <c r="K20" s="129" t="s">
        <v>96</v>
      </c>
      <c r="L20" s="129" t="s">
        <v>96</v>
      </c>
      <c r="M20" s="129" t="s">
        <v>96</v>
      </c>
      <c r="N20" s="129" t="s">
        <v>96</v>
      </c>
      <c r="O20" s="129" t="s">
        <v>96</v>
      </c>
      <c r="P20" s="129" t="s">
        <v>96</v>
      </c>
      <c r="Q20" s="129" t="s">
        <v>96</v>
      </c>
      <c r="R20" s="129" t="s">
        <v>96</v>
      </c>
      <c r="S20" s="129" t="s">
        <v>96</v>
      </c>
      <c r="T20" s="129" t="s">
        <v>96</v>
      </c>
      <c r="U20" s="129" t="s">
        <v>96</v>
      </c>
      <c r="V20" s="129" t="s">
        <v>96</v>
      </c>
      <c r="W20" s="129" t="s">
        <v>96</v>
      </c>
      <c r="X20" s="129" t="s">
        <v>96</v>
      </c>
      <c r="Y20" s="129" t="s">
        <v>96</v>
      </c>
      <c r="Z20" s="129" t="s">
        <v>96</v>
      </c>
      <c r="AA20" s="129" t="s">
        <v>96</v>
      </c>
      <c r="AB20" s="129">
        <v>875.1</v>
      </c>
      <c r="AC20" s="129">
        <v>933.69310700000005</v>
      </c>
      <c r="AD20" s="129">
        <v>935.59844199999998</v>
      </c>
      <c r="AE20" s="129">
        <v>1019.886602</v>
      </c>
      <c r="AF20" s="129">
        <v>1106.892595</v>
      </c>
      <c r="AG20" s="129">
        <v>943.79589599999997</v>
      </c>
      <c r="AH20" s="129">
        <v>615.47500000000002</v>
      </c>
      <c r="AI20" s="129">
        <v>573</v>
      </c>
      <c r="AJ20" s="129">
        <v>681.96500000000003</v>
      </c>
      <c r="AK20" s="129">
        <v>889.35599999999999</v>
      </c>
      <c r="AL20" s="129">
        <v>690.20228391000001</v>
      </c>
      <c r="AM20" s="129">
        <v>386.23153463</v>
      </c>
      <c r="AN20" s="129">
        <v>959.5</v>
      </c>
      <c r="AO20" s="129">
        <v>1528.3771826699999</v>
      </c>
      <c r="AP20" s="129">
        <v>694.408815</v>
      </c>
      <c r="AQ20" s="369">
        <f t="shared" si="2"/>
        <v>12833.482458210001</v>
      </c>
      <c r="AR20" s="370">
        <f t="shared" si="3"/>
        <v>9.6157073724721737E-2</v>
      </c>
    </row>
    <row r="21" spans="1:56" x14ac:dyDescent="0.3">
      <c r="A21" s="377" t="s">
        <v>142</v>
      </c>
      <c r="B21" s="379">
        <f t="shared" ref="B21:AF21" si="4">SUM(B10:B19)</f>
        <v>118.109441</v>
      </c>
      <c r="C21" s="379">
        <f t="shared" si="4"/>
        <v>130.99427499999999</v>
      </c>
      <c r="D21" s="379">
        <f t="shared" si="4"/>
        <v>162.981661</v>
      </c>
      <c r="E21" s="379">
        <f t="shared" si="4"/>
        <v>156.281868</v>
      </c>
      <c r="F21" s="379">
        <f t="shared" si="4"/>
        <v>166.22599099999999</v>
      </c>
      <c r="G21" s="379">
        <f t="shared" si="4"/>
        <v>176.04352</v>
      </c>
      <c r="H21" s="379">
        <f t="shared" si="4"/>
        <v>264.22199699999999</v>
      </c>
      <c r="I21" s="379">
        <f t="shared" si="4"/>
        <v>324.41169399999995</v>
      </c>
      <c r="J21" s="379">
        <f t="shared" si="4"/>
        <v>344.880605</v>
      </c>
      <c r="K21" s="379">
        <f t="shared" si="4"/>
        <v>349.08469299999996</v>
      </c>
      <c r="L21" s="379">
        <f t="shared" si="4"/>
        <v>359.36129999999997</v>
      </c>
      <c r="M21" s="379">
        <f t="shared" si="4"/>
        <v>390.48491200000001</v>
      </c>
      <c r="N21" s="379">
        <f t="shared" si="4"/>
        <v>485.96268900000007</v>
      </c>
      <c r="O21" s="379">
        <f t="shared" si="4"/>
        <v>560.82103699999993</v>
      </c>
      <c r="P21" s="379">
        <f t="shared" si="4"/>
        <v>622.23403999999994</v>
      </c>
      <c r="Q21" s="379">
        <f t="shared" si="4"/>
        <v>605.47205299999996</v>
      </c>
      <c r="R21" s="379">
        <f t="shared" si="4"/>
        <v>776.68228699999997</v>
      </c>
      <c r="S21" s="379">
        <f t="shared" si="4"/>
        <v>1136.3255290000002</v>
      </c>
      <c r="T21" s="379">
        <f t="shared" si="4"/>
        <v>1028.124143</v>
      </c>
      <c r="U21" s="379">
        <f t="shared" si="4"/>
        <v>1138.979188</v>
      </c>
      <c r="V21" s="379">
        <f t="shared" si="4"/>
        <v>1033.5819889999998</v>
      </c>
      <c r="W21" s="379">
        <f t="shared" si="4"/>
        <v>1255.883871</v>
      </c>
      <c r="X21" s="379">
        <f t="shared" si="4"/>
        <v>1736.585765</v>
      </c>
      <c r="Y21" s="379">
        <f t="shared" si="4"/>
        <v>2092.6745329999999</v>
      </c>
      <c r="Z21" s="379">
        <f t="shared" si="4"/>
        <v>2296.6590070000002</v>
      </c>
      <c r="AA21" s="379">
        <f t="shared" si="4"/>
        <v>3239.6560490000002</v>
      </c>
      <c r="AB21" s="379">
        <f t="shared" si="4"/>
        <v>1964.0016410000001</v>
      </c>
      <c r="AC21" s="379">
        <f t="shared" si="4"/>
        <v>3937.8856159999996</v>
      </c>
      <c r="AD21" s="379">
        <f t="shared" si="4"/>
        <v>4383.8680250000007</v>
      </c>
      <c r="AE21" s="379">
        <f t="shared" si="4"/>
        <v>4236.5471779999998</v>
      </c>
      <c r="AF21" s="379">
        <f t="shared" si="4"/>
        <v>5870.5672840000007</v>
      </c>
      <c r="AG21" s="379">
        <f>SUM(AG10:AG19)</f>
        <v>4944.9867539999987</v>
      </c>
      <c r="AH21" s="379">
        <v>4022.049</v>
      </c>
      <c r="AI21" s="379">
        <v>5171.902</v>
      </c>
      <c r="AJ21" s="379">
        <v>5152.5559999999996</v>
      </c>
      <c r="AK21" s="379">
        <v>5664.5829999999996</v>
      </c>
      <c r="AL21" s="379">
        <v>8607.4306504200049</v>
      </c>
      <c r="AM21" s="379">
        <v>10618.456741950016</v>
      </c>
      <c r="AN21" s="379">
        <v>11868.69</v>
      </c>
      <c r="AO21" s="379">
        <v>11227.73679854</v>
      </c>
      <c r="AP21" s="379">
        <f>SUM(AP10:AP19)</f>
        <v>12006.270339070001</v>
      </c>
      <c r="AQ21" s="378">
        <f t="shared" si="2"/>
        <v>120630.25516498003</v>
      </c>
      <c r="AR21" s="380" t="s">
        <v>96</v>
      </c>
    </row>
    <row r="22" spans="1:56" ht="15" thickBot="1" x14ac:dyDescent="0.35">
      <c r="A22" s="381" t="s">
        <v>143</v>
      </c>
      <c r="B22" s="382">
        <f>SUM(B20:B21)</f>
        <v>118.109441</v>
      </c>
      <c r="C22" s="383">
        <f t="shared" ref="C22:AP22" si="5">SUM(C20:C21)</f>
        <v>130.99427499999999</v>
      </c>
      <c r="D22" s="383">
        <f t="shared" si="5"/>
        <v>162.981661</v>
      </c>
      <c r="E22" s="383">
        <f t="shared" si="5"/>
        <v>156.281868</v>
      </c>
      <c r="F22" s="383">
        <f t="shared" si="5"/>
        <v>166.22599099999999</v>
      </c>
      <c r="G22" s="383">
        <f t="shared" si="5"/>
        <v>176.04352</v>
      </c>
      <c r="H22" s="383">
        <f t="shared" si="5"/>
        <v>264.22199699999999</v>
      </c>
      <c r="I22" s="383">
        <f t="shared" si="5"/>
        <v>324.41169399999995</v>
      </c>
      <c r="J22" s="383">
        <f t="shared" si="5"/>
        <v>344.880605</v>
      </c>
      <c r="K22" s="383">
        <f t="shared" si="5"/>
        <v>349.08469299999996</v>
      </c>
      <c r="L22" s="383">
        <f t="shared" si="5"/>
        <v>359.36129999999997</v>
      </c>
      <c r="M22" s="383">
        <f t="shared" si="5"/>
        <v>390.48491200000001</v>
      </c>
      <c r="N22" s="383">
        <f t="shared" si="5"/>
        <v>485.96268900000007</v>
      </c>
      <c r="O22" s="383">
        <f t="shared" si="5"/>
        <v>560.82103699999993</v>
      </c>
      <c r="P22" s="383">
        <f t="shared" si="5"/>
        <v>622.23403999999994</v>
      </c>
      <c r="Q22" s="383">
        <f t="shared" si="5"/>
        <v>605.47205299999996</v>
      </c>
      <c r="R22" s="383">
        <f t="shared" si="5"/>
        <v>776.68228699999997</v>
      </c>
      <c r="S22" s="383">
        <f t="shared" si="5"/>
        <v>1136.3255290000002</v>
      </c>
      <c r="T22" s="383">
        <f t="shared" si="5"/>
        <v>1028.124143</v>
      </c>
      <c r="U22" s="383">
        <f t="shared" si="5"/>
        <v>1138.979188</v>
      </c>
      <c r="V22" s="383">
        <f t="shared" si="5"/>
        <v>1033.5819889999998</v>
      </c>
      <c r="W22" s="383">
        <f t="shared" si="5"/>
        <v>1255.883871</v>
      </c>
      <c r="X22" s="383">
        <f t="shared" si="5"/>
        <v>1736.585765</v>
      </c>
      <c r="Y22" s="383">
        <f t="shared" si="5"/>
        <v>2092.6745329999999</v>
      </c>
      <c r="Z22" s="383">
        <f t="shared" si="5"/>
        <v>2296.6590070000002</v>
      </c>
      <c r="AA22" s="383">
        <f t="shared" si="5"/>
        <v>3239.6560490000002</v>
      </c>
      <c r="AB22" s="383">
        <f t="shared" si="5"/>
        <v>2839.1016410000002</v>
      </c>
      <c r="AC22" s="383">
        <f t="shared" si="5"/>
        <v>4871.5787229999996</v>
      </c>
      <c r="AD22" s="383">
        <f t="shared" si="5"/>
        <v>5319.4664670000002</v>
      </c>
      <c r="AE22" s="383">
        <f t="shared" si="5"/>
        <v>5256.4337799999994</v>
      </c>
      <c r="AF22" s="383">
        <f t="shared" si="5"/>
        <v>6977.4598790000009</v>
      </c>
      <c r="AG22" s="383">
        <f>SUM(AG20:AG21)</f>
        <v>5888.7826499999983</v>
      </c>
      <c r="AH22" s="383">
        <f t="shared" si="5"/>
        <v>4637.5240000000003</v>
      </c>
      <c r="AI22" s="383">
        <f t="shared" si="5"/>
        <v>5744.902</v>
      </c>
      <c r="AJ22" s="383">
        <f t="shared" si="5"/>
        <v>5834.5209999999997</v>
      </c>
      <c r="AK22" s="383">
        <f t="shared" si="5"/>
        <v>6553.9389999999994</v>
      </c>
      <c r="AL22" s="383">
        <f t="shared" si="5"/>
        <v>9297.6329343300058</v>
      </c>
      <c r="AM22" s="383">
        <f t="shared" si="5"/>
        <v>11004.688276580016</v>
      </c>
      <c r="AN22" s="383">
        <f t="shared" si="5"/>
        <v>12828.19</v>
      </c>
      <c r="AO22" s="383">
        <f t="shared" si="5"/>
        <v>12756.113981209999</v>
      </c>
      <c r="AP22" s="623">
        <f t="shared" si="5"/>
        <v>12700.679154070001</v>
      </c>
      <c r="AQ22" s="382">
        <f t="shared" si="2"/>
        <v>133463.73762319001</v>
      </c>
      <c r="AR22" s="384">
        <f>AQ22/AQ$22</f>
        <v>1</v>
      </c>
    </row>
    <row r="23" spans="1:56" x14ac:dyDescent="0.3">
      <c r="A23" s="123"/>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385"/>
      <c r="AG23" s="124"/>
      <c r="AH23" s="124"/>
      <c r="AI23" s="124"/>
      <c r="AJ23" s="124"/>
      <c r="AK23" s="124"/>
      <c r="AL23" s="125"/>
      <c r="AM23" s="125"/>
      <c r="AN23" s="124"/>
      <c r="AO23" s="108"/>
      <c r="AP23" s="108"/>
    </row>
    <row r="24" spans="1:56" ht="15" thickBot="1" x14ac:dyDescent="0.35">
      <c r="A24" s="4" t="s">
        <v>177</v>
      </c>
      <c r="B24" s="126"/>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6"/>
      <c r="AM24" s="126"/>
      <c r="AN24" s="126"/>
      <c r="AO24" s="126"/>
      <c r="AP24" s="126"/>
    </row>
    <row r="25" spans="1:56" x14ac:dyDescent="0.3">
      <c r="A25" s="655" t="s">
        <v>82</v>
      </c>
      <c r="B25" s="359">
        <v>1984</v>
      </c>
      <c r="C25" s="360">
        <v>1985</v>
      </c>
      <c r="D25" s="360">
        <v>1986</v>
      </c>
      <c r="E25" s="360">
        <v>1987</v>
      </c>
      <c r="F25" s="360">
        <v>1988</v>
      </c>
      <c r="G25" s="360">
        <v>1989</v>
      </c>
      <c r="H25" s="360">
        <v>1990</v>
      </c>
      <c r="I25" s="360">
        <v>1991</v>
      </c>
      <c r="J25" s="360">
        <v>1992</v>
      </c>
      <c r="K25" s="360">
        <v>1993</v>
      </c>
      <c r="L25" s="360">
        <v>1994</v>
      </c>
      <c r="M25" s="360">
        <v>1995</v>
      </c>
      <c r="N25" s="360">
        <v>1996</v>
      </c>
      <c r="O25" s="360">
        <v>1997</v>
      </c>
      <c r="P25" s="360">
        <v>1998</v>
      </c>
      <c r="Q25" s="360">
        <v>1999</v>
      </c>
      <c r="R25" s="360">
        <v>2000</v>
      </c>
      <c r="S25" s="360">
        <v>2001</v>
      </c>
      <c r="T25" s="360">
        <v>2002</v>
      </c>
      <c r="U25" s="360">
        <v>2003</v>
      </c>
      <c r="V25" s="360">
        <v>2004</v>
      </c>
      <c r="W25" s="360">
        <v>2005</v>
      </c>
      <c r="X25" s="360">
        <v>2006</v>
      </c>
      <c r="Y25" s="360">
        <v>2007</v>
      </c>
      <c r="Z25" s="360">
        <v>2008</v>
      </c>
      <c r="AA25" s="360">
        <v>2009</v>
      </c>
      <c r="AB25" s="360">
        <v>2010</v>
      </c>
      <c r="AC25" s="360">
        <v>2011</v>
      </c>
      <c r="AD25" s="360">
        <v>2012</v>
      </c>
      <c r="AE25" s="360">
        <v>2013</v>
      </c>
      <c r="AF25" s="360">
        <v>2014</v>
      </c>
      <c r="AG25" s="360">
        <v>2015</v>
      </c>
      <c r="AH25" s="360">
        <v>2016</v>
      </c>
      <c r="AI25" s="360">
        <v>2017</v>
      </c>
      <c r="AJ25" s="360">
        <v>2018</v>
      </c>
      <c r="AK25" s="360">
        <v>2019</v>
      </c>
      <c r="AL25" s="360">
        <v>2020</v>
      </c>
      <c r="AM25" s="360">
        <v>2021</v>
      </c>
      <c r="AN25" s="360">
        <v>2022</v>
      </c>
      <c r="AO25" s="360">
        <v>2023</v>
      </c>
      <c r="AP25" s="657" t="s">
        <v>108</v>
      </c>
      <c r="AQ25" s="658"/>
    </row>
    <row r="26" spans="1:56" x14ac:dyDescent="0.3">
      <c r="A26" s="656"/>
      <c r="B26" s="337" t="s">
        <v>135</v>
      </c>
      <c r="C26" s="361" t="s">
        <v>135</v>
      </c>
      <c r="D26" s="361" t="s">
        <v>135</v>
      </c>
      <c r="E26" s="362" t="s">
        <v>135</v>
      </c>
      <c r="F26" s="361" t="s">
        <v>135</v>
      </c>
      <c r="G26" s="362" t="s">
        <v>135</v>
      </c>
      <c r="H26" s="361" t="s">
        <v>135</v>
      </c>
      <c r="I26" s="362" t="s">
        <v>135</v>
      </c>
      <c r="J26" s="361" t="s">
        <v>135</v>
      </c>
      <c r="K26" s="362" t="s">
        <v>135</v>
      </c>
      <c r="L26" s="362" t="s">
        <v>135</v>
      </c>
      <c r="M26" s="362" t="s">
        <v>135</v>
      </c>
      <c r="N26" s="362" t="s">
        <v>135</v>
      </c>
      <c r="O26" s="362" t="s">
        <v>135</v>
      </c>
      <c r="P26" s="361" t="s">
        <v>135</v>
      </c>
      <c r="Q26" s="361" t="s">
        <v>135</v>
      </c>
      <c r="R26" s="363" t="s">
        <v>135</v>
      </c>
      <c r="S26" s="363" t="s">
        <v>135</v>
      </c>
      <c r="T26" s="363" t="s">
        <v>135</v>
      </c>
      <c r="U26" s="363" t="s">
        <v>135</v>
      </c>
      <c r="V26" s="363" t="s">
        <v>135</v>
      </c>
      <c r="W26" s="363" t="s">
        <v>135</v>
      </c>
      <c r="X26" s="363" t="s">
        <v>135</v>
      </c>
      <c r="Y26" s="363" t="s">
        <v>135</v>
      </c>
      <c r="Z26" s="364" t="s">
        <v>135</v>
      </c>
      <c r="AA26" s="364" t="s">
        <v>135</v>
      </c>
      <c r="AB26" s="364" t="s">
        <v>135</v>
      </c>
      <c r="AC26" s="364" t="s">
        <v>135</v>
      </c>
      <c r="AD26" s="364" t="s">
        <v>135</v>
      </c>
      <c r="AE26" s="364" t="s">
        <v>135</v>
      </c>
      <c r="AF26" s="364" t="s">
        <v>135</v>
      </c>
      <c r="AG26" s="364" t="s">
        <v>135</v>
      </c>
      <c r="AH26" s="364" t="s">
        <v>135</v>
      </c>
      <c r="AI26" s="364" t="s">
        <v>135</v>
      </c>
      <c r="AJ26" s="364" t="s">
        <v>135</v>
      </c>
      <c r="AK26" s="364" t="s">
        <v>135</v>
      </c>
      <c r="AL26" s="364" t="s">
        <v>135</v>
      </c>
      <c r="AM26" s="364" t="s">
        <v>135</v>
      </c>
      <c r="AN26" s="364" t="s">
        <v>135</v>
      </c>
      <c r="AO26" s="364" t="s">
        <v>135</v>
      </c>
      <c r="AP26" s="365" t="s">
        <v>135</v>
      </c>
      <c r="AQ26" s="366" t="s">
        <v>109</v>
      </c>
      <c r="AT26" s="65"/>
      <c r="AU26" s="65"/>
      <c r="AV26" s="65"/>
      <c r="AW26" s="65"/>
      <c r="AX26" s="65"/>
      <c r="AY26" s="65"/>
      <c r="AZ26" s="65"/>
      <c r="BA26" s="65"/>
      <c r="BB26" s="65"/>
      <c r="BC26" s="65"/>
    </row>
    <row r="27" spans="1:56" x14ac:dyDescent="0.3">
      <c r="A27" s="367" t="s">
        <v>136</v>
      </c>
      <c r="B27" s="368">
        <v>8.8597769999999993</v>
      </c>
      <c r="C27" s="129">
        <v>9.9765149999999991</v>
      </c>
      <c r="D27" s="129">
        <v>10.368378</v>
      </c>
      <c r="E27" s="129">
        <v>10.484702</v>
      </c>
      <c r="F27" s="129">
        <v>15.693844</v>
      </c>
      <c r="G27" s="129">
        <v>28.799883000000001</v>
      </c>
      <c r="H27" s="129">
        <v>34.945118000000001</v>
      </c>
      <c r="I27" s="129">
        <v>30.697526</v>
      </c>
      <c r="J27" s="129">
        <v>28.084012000000001</v>
      </c>
      <c r="K27" s="129">
        <v>30.723077</v>
      </c>
      <c r="L27" s="129">
        <v>29.077739000000001</v>
      </c>
      <c r="M27" s="129">
        <v>28.353370999999999</v>
      </c>
      <c r="N27" s="129">
        <v>31.598661</v>
      </c>
      <c r="O27" s="129">
        <v>34.568199</v>
      </c>
      <c r="P27" s="129">
        <v>38.281457000000003</v>
      </c>
      <c r="Q27" s="129">
        <v>39.021614999999997</v>
      </c>
      <c r="R27" s="129">
        <v>47.244112000000001</v>
      </c>
      <c r="S27" s="129">
        <v>62.545602000000002</v>
      </c>
      <c r="T27" s="129">
        <v>57.229191999999998</v>
      </c>
      <c r="U27" s="129">
        <v>51.081237999999999</v>
      </c>
      <c r="V27" s="129">
        <v>52.514256000000003</v>
      </c>
      <c r="W27" s="129">
        <v>57.283451999999997</v>
      </c>
      <c r="X27" s="129">
        <v>74.832357000000002</v>
      </c>
      <c r="Y27" s="129">
        <v>85.152337000000003</v>
      </c>
      <c r="Z27" s="129">
        <v>78.222581000000005</v>
      </c>
      <c r="AA27" s="129">
        <v>66.627260000000007</v>
      </c>
      <c r="AB27" s="129">
        <v>64.564846000000003</v>
      </c>
      <c r="AC27" s="129">
        <v>68.402558999999997</v>
      </c>
      <c r="AD27" s="129">
        <v>65.293682000000004</v>
      </c>
      <c r="AE27" s="129">
        <v>66.744770000000003</v>
      </c>
      <c r="AF27" s="129">
        <v>71.724530999999999</v>
      </c>
      <c r="AG27" s="129">
        <v>87.731436119999998</v>
      </c>
      <c r="AH27" s="129">
        <v>77.258851640000003</v>
      </c>
      <c r="AI27" s="129">
        <v>87.380759659999967</v>
      </c>
      <c r="AJ27" s="129">
        <v>120.37349791</v>
      </c>
      <c r="AK27" s="129">
        <v>130.41165364</v>
      </c>
      <c r="AL27" s="129">
        <v>99.919503579999997</v>
      </c>
      <c r="AM27" s="129">
        <v>89.791290740000008</v>
      </c>
      <c r="AN27" s="129">
        <v>115.41442070999999</v>
      </c>
      <c r="AO27" s="129">
        <v>109.10580370999998</v>
      </c>
      <c r="AP27" s="369">
        <f>SUM(B27:AO27)</f>
        <v>2296.3838667099999</v>
      </c>
      <c r="AQ27" s="370">
        <f t="shared" ref="AQ27:AQ37" si="6">AP27/AP$39</f>
        <v>1.8126024982957067E-2</v>
      </c>
      <c r="AT27" s="126"/>
      <c r="AU27" s="126"/>
      <c r="AV27" s="126"/>
      <c r="AW27" s="126"/>
      <c r="AX27" s="126"/>
      <c r="AY27" s="126"/>
      <c r="AZ27" s="126"/>
      <c r="BA27" s="126"/>
      <c r="BB27" s="126"/>
      <c r="BC27" s="126"/>
      <c r="BD27" s="126"/>
    </row>
    <row r="28" spans="1:56" x14ac:dyDescent="0.3">
      <c r="A28" s="367" t="s">
        <v>137</v>
      </c>
      <c r="B28" s="341" t="s">
        <v>96</v>
      </c>
      <c r="C28" s="371" t="s">
        <v>96</v>
      </c>
      <c r="D28" s="371" t="s">
        <v>96</v>
      </c>
      <c r="E28" s="371" t="s">
        <v>96</v>
      </c>
      <c r="F28" s="371" t="s">
        <v>96</v>
      </c>
      <c r="G28" s="371" t="s">
        <v>96</v>
      </c>
      <c r="H28" s="371" t="s">
        <v>96</v>
      </c>
      <c r="I28" s="371" t="s">
        <v>96</v>
      </c>
      <c r="J28" s="371" t="s">
        <v>96</v>
      </c>
      <c r="K28" s="371" t="s">
        <v>96</v>
      </c>
      <c r="L28" s="371" t="s">
        <v>96</v>
      </c>
      <c r="M28" s="371" t="s">
        <v>96</v>
      </c>
      <c r="N28" s="371" t="s">
        <v>96</v>
      </c>
      <c r="O28" s="371" t="s">
        <v>96</v>
      </c>
      <c r="P28" s="371" t="s">
        <v>96</v>
      </c>
      <c r="Q28" s="371" t="s">
        <v>96</v>
      </c>
      <c r="R28" s="371" t="s">
        <v>96</v>
      </c>
      <c r="S28" s="371" t="s">
        <v>96</v>
      </c>
      <c r="T28" s="371" t="s">
        <v>96</v>
      </c>
      <c r="U28" s="371" t="s">
        <v>96</v>
      </c>
      <c r="V28" s="371" t="s">
        <v>96</v>
      </c>
      <c r="W28" s="371" t="s">
        <v>96</v>
      </c>
      <c r="X28" s="371" t="s">
        <v>96</v>
      </c>
      <c r="Y28" s="371" t="s">
        <v>96</v>
      </c>
      <c r="Z28" s="371" t="s">
        <v>96</v>
      </c>
      <c r="AA28" s="371" t="s">
        <v>96</v>
      </c>
      <c r="AB28" s="371" t="s">
        <v>96</v>
      </c>
      <c r="AC28" s="371" t="s">
        <v>96</v>
      </c>
      <c r="AD28" s="371" t="s">
        <v>96</v>
      </c>
      <c r="AE28" s="371" t="s">
        <v>96</v>
      </c>
      <c r="AF28" s="371">
        <v>71.060969999999998</v>
      </c>
      <c r="AG28" s="371">
        <v>68.116599660000006</v>
      </c>
      <c r="AH28" s="371">
        <v>51.636841089999983</v>
      </c>
      <c r="AI28" s="371">
        <v>66.071363290000008</v>
      </c>
      <c r="AJ28" s="371">
        <v>76.312812349999945</v>
      </c>
      <c r="AK28" s="371">
        <v>74.181488959999939</v>
      </c>
      <c r="AL28" s="371">
        <v>63.683051430000027</v>
      </c>
      <c r="AM28" s="371">
        <v>88.731068229999963</v>
      </c>
      <c r="AN28" s="371">
        <v>96.879523579999955</v>
      </c>
      <c r="AO28" s="371">
        <v>72.231671000000063</v>
      </c>
      <c r="AP28" s="372">
        <f t="shared" ref="AP28:AP37" si="7">SUM(B28:AO28)</f>
        <v>728.90538958999991</v>
      </c>
      <c r="AQ28" s="373">
        <f t="shared" si="6"/>
        <v>5.7534619945093426E-3</v>
      </c>
      <c r="AT28" s="126"/>
      <c r="AU28" s="126"/>
      <c r="AV28" s="126"/>
      <c r="AW28" s="126"/>
      <c r="AX28" s="126"/>
      <c r="AY28" s="126"/>
      <c r="AZ28" s="126"/>
      <c r="BA28" s="126"/>
      <c r="BB28" s="126"/>
      <c r="BC28" s="126"/>
    </row>
    <row r="29" spans="1:56" x14ac:dyDescent="0.3">
      <c r="A29" s="374" t="s">
        <v>138</v>
      </c>
      <c r="B29" s="368">
        <v>3.4508830000000001</v>
      </c>
      <c r="C29" s="129">
        <v>2.1567259999999999</v>
      </c>
      <c r="D29" s="129">
        <v>7.474564</v>
      </c>
      <c r="E29" s="129">
        <v>14.522383</v>
      </c>
      <c r="F29" s="129">
        <v>9.9715330000000009</v>
      </c>
      <c r="G29" s="129">
        <v>17.415032</v>
      </c>
      <c r="H29" s="129">
        <v>31.173756999999998</v>
      </c>
      <c r="I29" s="129">
        <v>20.363022000000001</v>
      </c>
      <c r="J29" s="129">
        <v>42.342416999999998</v>
      </c>
      <c r="K29" s="129">
        <v>40.152290000000001</v>
      </c>
      <c r="L29" s="129">
        <v>39.937640999999999</v>
      </c>
      <c r="M29" s="129">
        <v>32.381880000000002</v>
      </c>
      <c r="N29" s="129">
        <v>34.781689999999998</v>
      </c>
      <c r="O29" s="129">
        <v>36.098081000000001</v>
      </c>
      <c r="P29" s="129">
        <v>45.192711000000003</v>
      </c>
      <c r="Q29" s="129">
        <v>53.713093999999998</v>
      </c>
      <c r="R29" s="129">
        <v>65.775672999999998</v>
      </c>
      <c r="S29" s="129">
        <v>84.697851</v>
      </c>
      <c r="T29" s="129">
        <v>77.106520000000003</v>
      </c>
      <c r="U29" s="129">
        <v>72.794516999999999</v>
      </c>
      <c r="V29" s="129">
        <v>36.539966</v>
      </c>
      <c r="W29" s="129">
        <v>50.335666000000003</v>
      </c>
      <c r="X29" s="129">
        <v>27.687850000000001</v>
      </c>
      <c r="Y29" s="129">
        <v>33.182993000000003</v>
      </c>
      <c r="Z29" s="129">
        <v>30.998567999999999</v>
      </c>
      <c r="AA29" s="129">
        <v>18.332882999999999</v>
      </c>
      <c r="AB29" s="129">
        <v>15.818955000000001</v>
      </c>
      <c r="AC29" s="129">
        <v>13.509606</v>
      </c>
      <c r="AD29" s="129">
        <v>16.194434000000001</v>
      </c>
      <c r="AE29" s="129">
        <v>18.137585000000001</v>
      </c>
      <c r="AF29" s="129">
        <v>19.137695999999998</v>
      </c>
      <c r="AG29" s="129">
        <v>15.9639685</v>
      </c>
      <c r="AH29" s="129">
        <v>15.668356170000001</v>
      </c>
      <c r="AI29" s="129">
        <v>12.526838660000003</v>
      </c>
      <c r="AJ29" s="129">
        <v>11.901943150000001</v>
      </c>
      <c r="AK29" s="129">
        <v>12.35870401</v>
      </c>
      <c r="AL29" s="129">
        <v>9.1200844400000012</v>
      </c>
      <c r="AM29" s="129">
        <v>6.1599591699999987</v>
      </c>
      <c r="AN29" s="129">
        <v>5.7405999999999993E-4</v>
      </c>
      <c r="AO29" s="129">
        <v>0</v>
      </c>
      <c r="AP29" s="369">
        <f t="shared" si="7"/>
        <v>1095.0788951600002</v>
      </c>
      <c r="AQ29" s="370">
        <f t="shared" si="6"/>
        <v>8.643775851124233E-3</v>
      </c>
      <c r="AT29" s="126"/>
      <c r="AU29" s="126"/>
      <c r="AV29" s="126"/>
      <c r="AW29" s="126"/>
      <c r="AX29" s="126"/>
      <c r="AY29" s="126"/>
      <c r="AZ29" s="126"/>
      <c r="BA29" s="126"/>
      <c r="BB29" s="126"/>
      <c r="BC29" s="126"/>
    </row>
    <row r="30" spans="1:56" x14ac:dyDescent="0.3">
      <c r="A30" s="367" t="s">
        <v>87</v>
      </c>
      <c r="B30" s="341">
        <v>7.2142999999999999E-2</v>
      </c>
      <c r="C30" s="371">
        <v>9.2987E-2</v>
      </c>
      <c r="D30" s="371">
        <v>0.10014199999999999</v>
      </c>
      <c r="E30" s="371">
        <v>0.13852200000000001</v>
      </c>
      <c r="F30" s="371">
        <v>0.15553400000000001</v>
      </c>
      <c r="G30" s="371">
        <v>0.21237300000000001</v>
      </c>
      <c r="H30" s="371">
        <v>0.22845599999999999</v>
      </c>
      <c r="I30" s="371">
        <v>0.28478999999999999</v>
      </c>
      <c r="J30" s="371">
        <v>0.21290799999999999</v>
      </c>
      <c r="K30" s="371">
        <v>0.27401599999999998</v>
      </c>
      <c r="L30" s="371">
        <v>0.35212700000000002</v>
      </c>
      <c r="M30" s="371">
        <v>0.37231199999999998</v>
      </c>
      <c r="N30" s="371">
        <v>0.37588500000000002</v>
      </c>
      <c r="O30" s="371">
        <v>0.43601200000000001</v>
      </c>
      <c r="P30" s="371">
        <v>9.2709379999999992</v>
      </c>
      <c r="Q30" s="371">
        <v>35.152990000000003</v>
      </c>
      <c r="R30" s="371">
        <v>43.866770000000002</v>
      </c>
      <c r="S30" s="371">
        <v>79.146827000000002</v>
      </c>
      <c r="T30" s="371">
        <v>81.952568999999997</v>
      </c>
      <c r="U30" s="371">
        <v>83.599621999999997</v>
      </c>
      <c r="V30" s="371">
        <v>74.334581999999997</v>
      </c>
      <c r="W30" s="371">
        <v>74.081029999999998</v>
      </c>
      <c r="X30" s="371">
        <v>96.783541999999997</v>
      </c>
      <c r="Y30" s="371">
        <v>100.58320399999999</v>
      </c>
      <c r="Z30" s="371">
        <v>99.877858000000003</v>
      </c>
      <c r="AA30" s="371">
        <v>139.58882</v>
      </c>
      <c r="AB30" s="371">
        <v>175.68911299999999</v>
      </c>
      <c r="AC30" s="371">
        <v>210.97038499999999</v>
      </c>
      <c r="AD30" s="371">
        <v>218.91829100000001</v>
      </c>
      <c r="AE30" s="371">
        <v>222.800476</v>
      </c>
      <c r="AF30" s="371">
        <v>216.55936</v>
      </c>
      <c r="AG30" s="371">
        <v>228.70081798000001</v>
      </c>
      <c r="AH30" s="371">
        <v>254.83356949999981</v>
      </c>
      <c r="AI30" s="371">
        <v>267.82795695999988</v>
      </c>
      <c r="AJ30" s="371">
        <v>279.41474358000016</v>
      </c>
      <c r="AK30" s="371">
        <v>312.67474552999971</v>
      </c>
      <c r="AL30" s="371">
        <v>410.57403921000059</v>
      </c>
      <c r="AM30" s="371">
        <v>399.91643091999941</v>
      </c>
      <c r="AN30" s="371">
        <v>428.87508299000001</v>
      </c>
      <c r="AO30" s="371">
        <v>467.62614800999972</v>
      </c>
      <c r="AP30" s="372">
        <f t="shared" si="7"/>
        <v>5016.9281186799999</v>
      </c>
      <c r="AQ30" s="373">
        <f t="shared" si="6"/>
        <v>3.9600071109704198E-2</v>
      </c>
      <c r="AT30" s="126"/>
      <c r="AU30" s="126"/>
      <c r="AV30" s="126"/>
      <c r="AW30" s="126"/>
      <c r="AX30" s="126"/>
      <c r="AY30" s="126"/>
      <c r="AZ30" s="126"/>
      <c r="BA30" s="126"/>
      <c r="BB30" s="126"/>
      <c r="BC30" s="126"/>
    </row>
    <row r="31" spans="1:56" x14ac:dyDescent="0.3">
      <c r="A31" s="367" t="s">
        <v>88</v>
      </c>
      <c r="B31" s="368">
        <v>84.053077999999999</v>
      </c>
      <c r="C31" s="129">
        <v>94.497727999999995</v>
      </c>
      <c r="D31" s="129">
        <v>102.414688</v>
      </c>
      <c r="E31" s="129">
        <v>89.274396999999993</v>
      </c>
      <c r="F31" s="129">
        <v>99.783895999999999</v>
      </c>
      <c r="G31" s="129">
        <v>102.392765</v>
      </c>
      <c r="H31" s="129">
        <v>111.80137999999999</v>
      </c>
      <c r="I31" s="129">
        <v>144.74190200000001</v>
      </c>
      <c r="J31" s="129">
        <v>151.445144</v>
      </c>
      <c r="K31" s="129">
        <v>182.85987900000001</v>
      </c>
      <c r="L31" s="129">
        <v>164.83283399999999</v>
      </c>
      <c r="M31" s="129">
        <v>179.175207</v>
      </c>
      <c r="N31" s="129">
        <v>177.67747900000001</v>
      </c>
      <c r="O31" s="129">
        <v>206.98787400000001</v>
      </c>
      <c r="P31" s="129">
        <v>235.06343699999999</v>
      </c>
      <c r="Q31" s="129">
        <v>204.971947</v>
      </c>
      <c r="R31" s="129">
        <v>232.69292999999999</v>
      </c>
      <c r="S31" s="129">
        <v>285.62792400000001</v>
      </c>
      <c r="T31" s="129">
        <v>272.49998399999998</v>
      </c>
      <c r="U31" s="129">
        <v>290.64790399999998</v>
      </c>
      <c r="V31" s="129">
        <v>330.19448699999998</v>
      </c>
      <c r="W31" s="129">
        <v>534.95757700000001</v>
      </c>
      <c r="X31" s="129">
        <v>774.77279499999997</v>
      </c>
      <c r="Y31" s="129">
        <v>830.41280200000006</v>
      </c>
      <c r="Z31" s="129">
        <v>1518.472327</v>
      </c>
      <c r="AA31" s="129">
        <v>1701.6030490000001</v>
      </c>
      <c r="AB31" s="129">
        <v>2394.704119</v>
      </c>
      <c r="AC31" s="129">
        <v>3785.1195250000001</v>
      </c>
      <c r="AD31" s="129">
        <v>3535.4177709999999</v>
      </c>
      <c r="AE31" s="129">
        <v>4344.0157790000003</v>
      </c>
      <c r="AF31" s="129">
        <v>5226.5965159999996</v>
      </c>
      <c r="AG31" s="129">
        <v>3862.8572184800014</v>
      </c>
      <c r="AH31" s="129">
        <v>3644.4235184000008</v>
      </c>
      <c r="AI31" s="129">
        <v>4831.4840539100014</v>
      </c>
      <c r="AJ31" s="129">
        <v>4470.861284689995</v>
      </c>
      <c r="AK31" s="129">
        <v>6953.3065179500018</v>
      </c>
      <c r="AL31" s="129">
        <v>7812.8063570200011</v>
      </c>
      <c r="AM31" s="129">
        <v>12403.108044279988</v>
      </c>
      <c r="AN31" s="129">
        <v>8700.4184968600057</v>
      </c>
      <c r="AO31" s="129">
        <v>9390.2929693900005</v>
      </c>
      <c r="AP31" s="369">
        <f t="shared" si="7"/>
        <v>90459.26758498</v>
      </c>
      <c r="AQ31" s="370">
        <f t="shared" si="6"/>
        <v>0.71402127839126306</v>
      </c>
      <c r="AT31" s="126"/>
      <c r="AU31" s="126"/>
      <c r="AV31" s="126"/>
      <c r="AW31" s="126"/>
      <c r="AX31" s="126"/>
      <c r="AY31" s="126"/>
      <c r="AZ31" s="126"/>
      <c r="BA31" s="126"/>
      <c r="BB31" s="126"/>
      <c r="BC31" s="126"/>
    </row>
    <row r="32" spans="1:56" x14ac:dyDescent="0.3">
      <c r="A32" s="367" t="s">
        <v>89</v>
      </c>
      <c r="B32" s="341" t="s">
        <v>96</v>
      </c>
      <c r="C32" s="371" t="s">
        <v>96</v>
      </c>
      <c r="D32" s="371" t="s">
        <v>96</v>
      </c>
      <c r="E32" s="371" t="s">
        <v>96</v>
      </c>
      <c r="F32" s="371" t="s">
        <v>96</v>
      </c>
      <c r="G32" s="371" t="s">
        <v>96</v>
      </c>
      <c r="H32" s="371" t="s">
        <v>96</v>
      </c>
      <c r="I32" s="371" t="s">
        <v>96</v>
      </c>
      <c r="J32" s="371" t="s">
        <v>96</v>
      </c>
      <c r="K32" s="371" t="s">
        <v>96</v>
      </c>
      <c r="L32" s="371" t="s">
        <v>96</v>
      </c>
      <c r="M32" s="371" t="s">
        <v>96</v>
      </c>
      <c r="N32" s="371" t="s">
        <v>96</v>
      </c>
      <c r="O32" s="371" t="s">
        <v>96</v>
      </c>
      <c r="P32" s="371" t="s">
        <v>96</v>
      </c>
      <c r="Q32" s="371" t="s">
        <v>96</v>
      </c>
      <c r="R32" s="371" t="s">
        <v>96</v>
      </c>
      <c r="S32" s="371" t="s">
        <v>96</v>
      </c>
      <c r="T32" s="371" t="s">
        <v>96</v>
      </c>
      <c r="U32" s="371" t="s">
        <v>96</v>
      </c>
      <c r="V32" s="371" t="s">
        <v>96</v>
      </c>
      <c r="W32" s="371" t="s">
        <v>96</v>
      </c>
      <c r="X32" s="371" t="s">
        <v>96</v>
      </c>
      <c r="Y32" s="371" t="s">
        <v>96</v>
      </c>
      <c r="Z32" s="371" t="s">
        <v>96</v>
      </c>
      <c r="AA32" s="371" t="s">
        <v>96</v>
      </c>
      <c r="AB32" s="371" t="s">
        <v>96</v>
      </c>
      <c r="AC32" s="371" t="s">
        <v>96</v>
      </c>
      <c r="AD32" s="371" t="s">
        <v>96</v>
      </c>
      <c r="AE32" s="371" t="s">
        <v>96</v>
      </c>
      <c r="AF32" s="371" t="s">
        <v>96</v>
      </c>
      <c r="AG32" s="371" t="s">
        <v>96</v>
      </c>
      <c r="AH32" s="371">
        <v>11.7107116</v>
      </c>
      <c r="AI32" s="371">
        <v>44.40498233000001</v>
      </c>
      <c r="AJ32" s="371">
        <v>89.076650709999981</v>
      </c>
      <c r="AK32" s="371">
        <v>82.076538890000009</v>
      </c>
      <c r="AL32" s="371">
        <v>46.903377010000014</v>
      </c>
      <c r="AM32" s="371">
        <v>60.374975630000023</v>
      </c>
      <c r="AN32" s="371">
        <v>457.36432666000013</v>
      </c>
      <c r="AO32" s="371">
        <v>1051.1827203599998</v>
      </c>
      <c r="AP32" s="372">
        <f>SUM(B32:AO32)</f>
        <v>1843.0942831899999</v>
      </c>
      <c r="AQ32" s="373">
        <f t="shared" si="6"/>
        <v>1.4548078614970619E-2</v>
      </c>
      <c r="AT32" s="126"/>
      <c r="AU32" s="126"/>
      <c r="AV32" s="126"/>
      <c r="AW32" s="126"/>
      <c r="AX32" s="126"/>
      <c r="AY32" s="126"/>
      <c r="AZ32" s="126"/>
      <c r="BA32" s="126"/>
      <c r="BB32" s="126"/>
      <c r="BC32" s="126"/>
    </row>
    <row r="33" spans="1:45" x14ac:dyDescent="0.3">
      <c r="A33" s="367" t="s">
        <v>90</v>
      </c>
      <c r="B33" s="368" t="s">
        <v>96</v>
      </c>
      <c r="C33" s="129" t="s">
        <v>96</v>
      </c>
      <c r="D33" s="129" t="s">
        <v>96</v>
      </c>
      <c r="E33" s="129" t="s">
        <v>96</v>
      </c>
      <c r="F33" s="129" t="s">
        <v>96</v>
      </c>
      <c r="G33" s="129" t="s">
        <v>96</v>
      </c>
      <c r="H33" s="129" t="s">
        <v>96</v>
      </c>
      <c r="I33" s="129" t="s">
        <v>96</v>
      </c>
      <c r="J33" s="129" t="s">
        <v>96</v>
      </c>
      <c r="K33" s="129" t="s">
        <v>96</v>
      </c>
      <c r="L33" s="129" t="s">
        <v>96</v>
      </c>
      <c r="M33" s="129" t="s">
        <v>96</v>
      </c>
      <c r="N33" s="129" t="s">
        <v>96</v>
      </c>
      <c r="O33" s="129" t="s">
        <v>96</v>
      </c>
      <c r="P33" s="129" t="s">
        <v>96</v>
      </c>
      <c r="Q33" s="129" t="s">
        <v>96</v>
      </c>
      <c r="R33" s="129" t="s">
        <v>96</v>
      </c>
      <c r="S33" s="129" t="s">
        <v>96</v>
      </c>
      <c r="T33" s="129" t="s">
        <v>96</v>
      </c>
      <c r="U33" s="129" t="s">
        <v>96</v>
      </c>
      <c r="V33" s="129" t="s">
        <v>96</v>
      </c>
      <c r="W33" s="129" t="s">
        <v>96</v>
      </c>
      <c r="X33" s="129" t="s">
        <v>96</v>
      </c>
      <c r="Y33" s="129" t="s">
        <v>96</v>
      </c>
      <c r="Z33" s="129" t="s">
        <v>96</v>
      </c>
      <c r="AA33" s="129">
        <v>21.462494</v>
      </c>
      <c r="AB33" s="129">
        <v>24.355874</v>
      </c>
      <c r="AC33" s="129">
        <v>19.222522999999999</v>
      </c>
      <c r="AD33" s="129">
        <v>25.124566000000002</v>
      </c>
      <c r="AE33" s="129">
        <v>20.032661000000001</v>
      </c>
      <c r="AF33" s="129">
        <v>13.867438999999999</v>
      </c>
      <c r="AG33" s="129">
        <v>12.902157649999996</v>
      </c>
      <c r="AH33" s="129">
        <v>17.110661820000001</v>
      </c>
      <c r="AI33" s="129">
        <v>12.704224999999996</v>
      </c>
      <c r="AJ33" s="129">
        <v>15.432036929999999</v>
      </c>
      <c r="AK33" s="129">
        <v>21.114101730000009</v>
      </c>
      <c r="AL33" s="129">
        <v>27.519279090000008</v>
      </c>
      <c r="AM33" s="129">
        <v>33.667262760000014</v>
      </c>
      <c r="AN33" s="129">
        <v>49.08868308000001</v>
      </c>
      <c r="AO33" s="129">
        <v>47.484565280000012</v>
      </c>
      <c r="AP33" s="369">
        <f t="shared" si="7"/>
        <v>361.08853034000009</v>
      </c>
      <c r="AQ33" s="370">
        <f t="shared" si="6"/>
        <v>2.8501766698871538E-3</v>
      </c>
    </row>
    <row r="34" spans="1:45" x14ac:dyDescent="0.3">
      <c r="A34" s="367" t="s">
        <v>91</v>
      </c>
      <c r="B34" s="341">
        <v>3.9682089999999999</v>
      </c>
      <c r="C34" s="371">
        <v>5.0308330000000003</v>
      </c>
      <c r="D34" s="371">
        <v>5.8192750000000002</v>
      </c>
      <c r="E34" s="371">
        <v>3.3647079999999998</v>
      </c>
      <c r="F34" s="371">
        <v>6.5740340000000002</v>
      </c>
      <c r="G34" s="371">
        <v>10.694293</v>
      </c>
      <c r="H34" s="371">
        <v>9.9092339999999997</v>
      </c>
      <c r="I34" s="371">
        <v>10.082058</v>
      </c>
      <c r="J34" s="371">
        <v>10.846182000000001</v>
      </c>
      <c r="K34" s="371">
        <v>8.1570459999999994</v>
      </c>
      <c r="L34" s="371">
        <v>10.872023</v>
      </c>
      <c r="M34" s="371">
        <v>22.481707</v>
      </c>
      <c r="N34" s="371">
        <v>24.375886000000001</v>
      </c>
      <c r="O34" s="371">
        <v>21.581045</v>
      </c>
      <c r="P34" s="371">
        <v>24.60351</v>
      </c>
      <c r="Q34" s="371">
        <v>20.268521</v>
      </c>
      <c r="R34" s="371">
        <v>51.541488000000001</v>
      </c>
      <c r="S34" s="371">
        <v>53.134321999999997</v>
      </c>
      <c r="T34" s="371">
        <v>46.654437000000001</v>
      </c>
      <c r="U34" s="371">
        <v>63.881419000000001</v>
      </c>
      <c r="V34" s="371">
        <v>82.189510999999996</v>
      </c>
      <c r="W34" s="371">
        <v>87.554131999999996</v>
      </c>
      <c r="X34" s="371">
        <v>117.65648</v>
      </c>
      <c r="Y34" s="371">
        <v>197.97207599999999</v>
      </c>
      <c r="Z34" s="371">
        <v>116.720356</v>
      </c>
      <c r="AA34" s="371">
        <v>67.742963000000003</v>
      </c>
      <c r="AB34" s="371">
        <v>100.73661300000001</v>
      </c>
      <c r="AC34" s="371">
        <v>103.02030999999999</v>
      </c>
      <c r="AD34" s="371">
        <v>94.532049999999998</v>
      </c>
      <c r="AE34" s="371">
        <v>84.413621000000006</v>
      </c>
      <c r="AF34" s="371">
        <v>84.339056999999997</v>
      </c>
      <c r="AG34" s="371">
        <v>66.572766459999997</v>
      </c>
      <c r="AH34" s="371">
        <v>47.413265929999994</v>
      </c>
      <c r="AI34" s="371">
        <v>51.274919679999996</v>
      </c>
      <c r="AJ34" s="371">
        <v>66.71823277</v>
      </c>
      <c r="AK34" s="371">
        <v>73.107660919999958</v>
      </c>
      <c r="AL34" s="371">
        <v>74.741380269999979</v>
      </c>
      <c r="AM34" s="371">
        <v>87.401677310000039</v>
      </c>
      <c r="AN34" s="371">
        <v>128.17398615000002</v>
      </c>
      <c r="AO34" s="371">
        <v>131.60841126999995</v>
      </c>
      <c r="AP34" s="372">
        <f t="shared" si="7"/>
        <v>2277.7296997599997</v>
      </c>
      <c r="AQ34" s="373">
        <f t="shared" si="6"/>
        <v>1.7978782223994304E-2</v>
      </c>
    </row>
    <row r="35" spans="1:45" x14ac:dyDescent="0.3">
      <c r="A35" s="367" t="s">
        <v>140</v>
      </c>
      <c r="B35" s="368">
        <v>7.3000670000000003</v>
      </c>
      <c r="C35" s="129">
        <v>8.2229519999999994</v>
      </c>
      <c r="D35" s="129">
        <v>7.8940830000000002</v>
      </c>
      <c r="E35" s="129">
        <v>8.8009199999999996</v>
      </c>
      <c r="F35" s="129">
        <v>17.862929999999999</v>
      </c>
      <c r="G35" s="129">
        <v>25.917968999999999</v>
      </c>
      <c r="H35" s="129">
        <v>27.917249999999999</v>
      </c>
      <c r="I35" s="129">
        <v>31.605571000000001</v>
      </c>
      <c r="J35" s="129">
        <v>36.102908999999997</v>
      </c>
      <c r="K35" s="129">
        <v>33.744779999999999</v>
      </c>
      <c r="L35" s="129">
        <v>33.088425000000001</v>
      </c>
      <c r="M35" s="129">
        <v>48.087128</v>
      </c>
      <c r="N35" s="129">
        <v>50.255875000000003</v>
      </c>
      <c r="O35" s="129">
        <v>48.443001000000002</v>
      </c>
      <c r="P35" s="129">
        <v>55.097645999999997</v>
      </c>
      <c r="Q35" s="129">
        <v>56.511277</v>
      </c>
      <c r="R35" s="129">
        <v>67.244718000000006</v>
      </c>
      <c r="S35" s="129">
        <v>76.107667000000006</v>
      </c>
      <c r="T35" s="129">
        <v>75.554355000000001</v>
      </c>
      <c r="U35" s="129">
        <v>77.110478000000001</v>
      </c>
      <c r="V35" s="129">
        <v>76.127526000000003</v>
      </c>
      <c r="W35" s="129">
        <v>84.339597999999995</v>
      </c>
      <c r="X35" s="129">
        <v>122.036845</v>
      </c>
      <c r="Y35" s="129">
        <v>183.56032400000001</v>
      </c>
      <c r="Z35" s="129">
        <v>147.95616899999999</v>
      </c>
      <c r="AA35" s="129">
        <v>85.733526999999995</v>
      </c>
      <c r="AB35" s="129">
        <v>106.02801599999999</v>
      </c>
      <c r="AC35" s="129">
        <v>139.40100200000001</v>
      </c>
      <c r="AD35" s="129">
        <v>136.91198199999999</v>
      </c>
      <c r="AE35" s="129">
        <v>142.803504</v>
      </c>
      <c r="AF35" s="129">
        <v>72.087712999999994</v>
      </c>
      <c r="AG35" s="129">
        <v>76.165911569999963</v>
      </c>
      <c r="AH35" s="129">
        <v>49.19550032999998</v>
      </c>
      <c r="AI35" s="129">
        <v>58.921453069999949</v>
      </c>
      <c r="AJ35" s="129">
        <v>83.588267510000009</v>
      </c>
      <c r="AK35" s="129">
        <v>83.106348810000043</v>
      </c>
      <c r="AL35" s="129">
        <v>72.792384989999945</v>
      </c>
      <c r="AM35" s="129">
        <v>76.812480540000024</v>
      </c>
      <c r="AN35" s="129">
        <v>90.83848973000002</v>
      </c>
      <c r="AO35" s="129">
        <v>85.277919390000022</v>
      </c>
      <c r="AP35" s="369">
        <f t="shared" si="7"/>
        <v>2766.5549629400007</v>
      </c>
      <c r="AQ35" s="375">
        <f t="shared" si="6"/>
        <v>2.1837222035015764E-2</v>
      </c>
    </row>
    <row r="36" spans="1:45" x14ac:dyDescent="0.3">
      <c r="A36" s="367" t="s">
        <v>92</v>
      </c>
      <c r="B36" s="341">
        <v>17.840906</v>
      </c>
      <c r="C36" s="371">
        <v>20.821733999999999</v>
      </c>
      <c r="D36" s="371">
        <v>31.243739000000001</v>
      </c>
      <c r="E36" s="371">
        <v>29.930962999999998</v>
      </c>
      <c r="F36" s="371">
        <v>28.430859000000002</v>
      </c>
      <c r="G36" s="371">
        <v>25.391576000000001</v>
      </c>
      <c r="H36" s="371">
        <v>85.807862</v>
      </c>
      <c r="I36" s="371">
        <v>88.291780000000003</v>
      </c>
      <c r="J36" s="371">
        <v>82.862410999999994</v>
      </c>
      <c r="K36" s="371">
        <v>77.885557000000006</v>
      </c>
      <c r="L36" s="371">
        <v>84.194806999999997</v>
      </c>
      <c r="M36" s="371">
        <v>154.57946999999999</v>
      </c>
      <c r="N36" s="371">
        <v>166.151815</v>
      </c>
      <c r="O36" s="371">
        <v>236.83548300000001</v>
      </c>
      <c r="P36" s="371">
        <v>228.77493999999999</v>
      </c>
      <c r="Q36" s="371">
        <v>190.128231</v>
      </c>
      <c r="R36" s="371">
        <v>510.72407299999998</v>
      </c>
      <c r="S36" s="371">
        <v>494.45031999999998</v>
      </c>
      <c r="T36" s="371">
        <v>438.49728499999998</v>
      </c>
      <c r="U36" s="371">
        <v>441.346858</v>
      </c>
      <c r="V36" s="371">
        <v>489.335936</v>
      </c>
      <c r="W36" s="371">
        <v>624.69057399999997</v>
      </c>
      <c r="X36" s="371">
        <v>700.83078899999998</v>
      </c>
      <c r="Y36" s="371">
        <v>737.11452199999997</v>
      </c>
      <c r="Z36" s="371">
        <v>929.25872200000003</v>
      </c>
      <c r="AA36" s="371">
        <v>17.851848</v>
      </c>
      <c r="AB36" s="371">
        <v>22.882171</v>
      </c>
      <c r="AC36" s="371">
        <v>21.987487999999999</v>
      </c>
      <c r="AD36" s="371">
        <v>17.220538999999999</v>
      </c>
      <c r="AE36" s="371">
        <v>14.427177</v>
      </c>
      <c r="AF36" s="371">
        <v>11.123224</v>
      </c>
      <c r="AG36" s="371">
        <v>8.7359958299999949</v>
      </c>
      <c r="AH36" s="371">
        <v>3.4935449599999999</v>
      </c>
      <c r="AI36" s="371">
        <v>4.0546405700000001</v>
      </c>
      <c r="AJ36" s="371">
        <v>8.3174555299999984</v>
      </c>
      <c r="AK36" s="371">
        <v>10.568204839999998</v>
      </c>
      <c r="AL36" s="371">
        <v>2.3277912099999996</v>
      </c>
      <c r="AM36" s="371">
        <v>5.8236728300000005</v>
      </c>
      <c r="AN36" s="371">
        <v>14.182022009999994</v>
      </c>
      <c r="AO36" s="371">
        <v>15.797970289999997</v>
      </c>
      <c r="AP36" s="372">
        <f t="shared" si="7"/>
        <v>7094.2149570699994</v>
      </c>
      <c r="AQ36" s="373">
        <f t="shared" si="6"/>
        <v>5.5996699598202485E-2</v>
      </c>
    </row>
    <row r="37" spans="1:45" x14ac:dyDescent="0.3">
      <c r="A37" s="367" t="s">
        <v>141</v>
      </c>
      <c r="B37" s="368" t="s">
        <v>96</v>
      </c>
      <c r="C37" s="129" t="s">
        <v>96</v>
      </c>
      <c r="D37" s="129" t="s">
        <v>96</v>
      </c>
      <c r="E37" s="129" t="s">
        <v>96</v>
      </c>
      <c r="F37" s="129" t="s">
        <v>96</v>
      </c>
      <c r="G37" s="129" t="s">
        <v>96</v>
      </c>
      <c r="H37" s="129" t="s">
        <v>96</v>
      </c>
      <c r="I37" s="129" t="s">
        <v>96</v>
      </c>
      <c r="J37" s="129" t="s">
        <v>96</v>
      </c>
      <c r="K37" s="129" t="s">
        <v>96</v>
      </c>
      <c r="L37" s="129" t="s">
        <v>96</v>
      </c>
      <c r="M37" s="129" t="s">
        <v>96</v>
      </c>
      <c r="N37" s="129" t="s">
        <v>96</v>
      </c>
      <c r="O37" s="129" t="s">
        <v>96</v>
      </c>
      <c r="P37" s="129" t="s">
        <v>96</v>
      </c>
      <c r="Q37" s="129" t="s">
        <v>96</v>
      </c>
      <c r="R37" s="129" t="s">
        <v>96</v>
      </c>
      <c r="S37" s="129" t="s">
        <v>96</v>
      </c>
      <c r="T37" s="129" t="s">
        <v>96</v>
      </c>
      <c r="U37" s="129" t="s">
        <v>96</v>
      </c>
      <c r="V37" s="129" t="s">
        <v>96</v>
      </c>
      <c r="W37" s="129" t="s">
        <v>96</v>
      </c>
      <c r="X37" s="129" t="s">
        <v>96</v>
      </c>
      <c r="Y37" s="129" t="s">
        <v>96</v>
      </c>
      <c r="Z37" s="129" t="s">
        <v>96</v>
      </c>
      <c r="AA37" s="129">
        <v>673.84336599999995</v>
      </c>
      <c r="AB37" s="129">
        <v>962.19831699999997</v>
      </c>
      <c r="AC37" s="129">
        <v>927.12396799999999</v>
      </c>
      <c r="AD37" s="129">
        <v>985.83227699999998</v>
      </c>
      <c r="AE37" s="129">
        <v>1039.1903070000001</v>
      </c>
      <c r="AF37" s="129">
        <v>1079.461374</v>
      </c>
      <c r="AG37" s="129">
        <v>742.80582800000002</v>
      </c>
      <c r="AH37" s="129">
        <v>567.04499999999996</v>
      </c>
      <c r="AI37" s="129">
        <v>622.81438276999984</v>
      </c>
      <c r="AJ37" s="129">
        <v>832.39</v>
      </c>
      <c r="AK37" s="129">
        <v>766.41866484999991</v>
      </c>
      <c r="AL37" s="129">
        <v>494.94433580999998</v>
      </c>
      <c r="AM37" s="129">
        <v>732.42540717999998</v>
      </c>
      <c r="AN37" s="129">
        <v>1342.62165645</v>
      </c>
      <c r="AO37" s="129">
        <v>981.51533762999998</v>
      </c>
      <c r="AP37" s="369">
        <f t="shared" si="7"/>
        <v>12750.63022169</v>
      </c>
      <c r="AQ37" s="370">
        <f t="shared" si="6"/>
        <v>0.10064442852837167</v>
      </c>
    </row>
    <row r="38" spans="1:45" x14ac:dyDescent="0.3">
      <c r="A38" s="377" t="s">
        <v>142</v>
      </c>
      <c r="B38" s="379">
        <f t="shared" ref="B38:AN38" si="8">SUM(B27:B36)</f>
        <v>125.545063</v>
      </c>
      <c r="C38" s="379">
        <f t="shared" si="8"/>
        <v>140.79947499999997</v>
      </c>
      <c r="D38" s="379">
        <f t="shared" si="8"/>
        <v>165.31486900000002</v>
      </c>
      <c r="E38" s="379">
        <f t="shared" si="8"/>
        <v>156.516595</v>
      </c>
      <c r="F38" s="379">
        <f t="shared" si="8"/>
        <v>178.47263000000001</v>
      </c>
      <c r="G38" s="379">
        <f t="shared" si="8"/>
        <v>210.823891</v>
      </c>
      <c r="H38" s="379">
        <f t="shared" si="8"/>
        <v>301.78305699999999</v>
      </c>
      <c r="I38" s="379">
        <f t="shared" si="8"/>
        <v>326.06664899999998</v>
      </c>
      <c r="J38" s="379">
        <f t="shared" si="8"/>
        <v>351.895983</v>
      </c>
      <c r="K38" s="379">
        <f t="shared" si="8"/>
        <v>373.79664500000001</v>
      </c>
      <c r="L38" s="379">
        <f t="shared" si="8"/>
        <v>362.35559599999999</v>
      </c>
      <c r="M38" s="379">
        <f t="shared" si="8"/>
        <v>465.43107499999996</v>
      </c>
      <c r="N38" s="379">
        <f t="shared" si="8"/>
        <v>485.21729099999999</v>
      </c>
      <c r="O38" s="379">
        <f t="shared" si="8"/>
        <v>584.94969500000002</v>
      </c>
      <c r="P38" s="379">
        <f t="shared" si="8"/>
        <v>636.28463899999997</v>
      </c>
      <c r="Q38" s="379">
        <f t="shared" si="8"/>
        <v>599.76767500000005</v>
      </c>
      <c r="R38" s="379">
        <f t="shared" si="8"/>
        <v>1019.0897639999999</v>
      </c>
      <c r="S38" s="379">
        <f t="shared" si="8"/>
        <v>1135.710513</v>
      </c>
      <c r="T38" s="379">
        <f t="shared" si="8"/>
        <v>1049.494342</v>
      </c>
      <c r="U38" s="379">
        <f t="shared" si="8"/>
        <v>1080.4620359999999</v>
      </c>
      <c r="V38" s="379">
        <f t="shared" si="8"/>
        <v>1141.2362639999999</v>
      </c>
      <c r="W38" s="379">
        <f t="shared" si="8"/>
        <v>1513.242029</v>
      </c>
      <c r="X38" s="379">
        <f t="shared" si="8"/>
        <v>1914.6006580000003</v>
      </c>
      <c r="Y38" s="379">
        <f t="shared" si="8"/>
        <v>2167.9782580000001</v>
      </c>
      <c r="Z38" s="379">
        <f t="shared" si="8"/>
        <v>2921.5065810000001</v>
      </c>
      <c r="AA38" s="379">
        <f t="shared" si="8"/>
        <v>2118.9428439999997</v>
      </c>
      <c r="AB38" s="379">
        <f t="shared" si="8"/>
        <v>2904.7797070000001</v>
      </c>
      <c r="AC38" s="379">
        <f t="shared" si="8"/>
        <v>4361.633397999999</v>
      </c>
      <c r="AD38" s="379">
        <f t="shared" si="8"/>
        <v>4109.6133149999996</v>
      </c>
      <c r="AE38" s="379">
        <f t="shared" si="8"/>
        <v>4913.3755730000003</v>
      </c>
      <c r="AF38" s="379">
        <f t="shared" si="8"/>
        <v>5786.4965059999995</v>
      </c>
      <c r="AG38" s="379">
        <f t="shared" si="8"/>
        <v>4427.7468722500016</v>
      </c>
      <c r="AH38" s="379">
        <f t="shared" si="8"/>
        <v>4172.744821440001</v>
      </c>
      <c r="AI38" s="379">
        <f t="shared" si="8"/>
        <v>5436.651193130001</v>
      </c>
      <c r="AJ38" s="379">
        <f t="shared" si="8"/>
        <v>5221.9969251299954</v>
      </c>
      <c r="AK38" s="379">
        <f t="shared" si="8"/>
        <v>7752.9059652800015</v>
      </c>
      <c r="AL38" s="379">
        <f t="shared" si="8"/>
        <v>8620.387248250001</v>
      </c>
      <c r="AM38" s="379">
        <f t="shared" si="8"/>
        <v>13251.786862409988</v>
      </c>
      <c r="AN38" s="379">
        <f t="shared" si="8"/>
        <v>10081.235605830003</v>
      </c>
      <c r="AO38" s="379">
        <f>SUM(AO27:AO36)</f>
        <v>11370.608178699998</v>
      </c>
      <c r="AP38" s="378">
        <f>SUM(AP27:AP36)</f>
        <v>113939.24628842001</v>
      </c>
      <c r="AQ38" s="380" t="s">
        <v>96</v>
      </c>
    </row>
    <row r="39" spans="1:45" ht="15" thickBot="1" x14ac:dyDescent="0.35">
      <c r="A39" s="381" t="s">
        <v>143</v>
      </c>
      <c r="B39" s="383">
        <f t="shared" ref="B39:AN39" si="9">SUM(B37:B38)</f>
        <v>125.545063</v>
      </c>
      <c r="C39" s="383">
        <f t="shared" si="9"/>
        <v>140.79947499999997</v>
      </c>
      <c r="D39" s="383">
        <f t="shared" si="9"/>
        <v>165.31486900000002</v>
      </c>
      <c r="E39" s="383">
        <f t="shared" si="9"/>
        <v>156.516595</v>
      </c>
      <c r="F39" s="383">
        <f t="shared" si="9"/>
        <v>178.47263000000001</v>
      </c>
      <c r="G39" s="383">
        <f t="shared" si="9"/>
        <v>210.823891</v>
      </c>
      <c r="H39" s="383">
        <f t="shared" si="9"/>
        <v>301.78305699999999</v>
      </c>
      <c r="I39" s="383">
        <f t="shared" si="9"/>
        <v>326.06664899999998</v>
      </c>
      <c r="J39" s="383">
        <f t="shared" si="9"/>
        <v>351.895983</v>
      </c>
      <c r="K39" s="383">
        <f t="shared" si="9"/>
        <v>373.79664500000001</v>
      </c>
      <c r="L39" s="383">
        <f t="shared" si="9"/>
        <v>362.35559599999999</v>
      </c>
      <c r="M39" s="383">
        <f t="shared" si="9"/>
        <v>465.43107499999996</v>
      </c>
      <c r="N39" s="383">
        <f t="shared" si="9"/>
        <v>485.21729099999999</v>
      </c>
      <c r="O39" s="383">
        <f t="shared" si="9"/>
        <v>584.94969500000002</v>
      </c>
      <c r="P39" s="383">
        <f t="shared" si="9"/>
        <v>636.28463899999997</v>
      </c>
      <c r="Q39" s="383">
        <f t="shared" si="9"/>
        <v>599.76767500000005</v>
      </c>
      <c r="R39" s="383">
        <f t="shared" si="9"/>
        <v>1019.0897639999999</v>
      </c>
      <c r="S39" s="383">
        <f t="shared" si="9"/>
        <v>1135.710513</v>
      </c>
      <c r="T39" s="383">
        <f t="shared" si="9"/>
        <v>1049.494342</v>
      </c>
      <c r="U39" s="383">
        <f t="shared" si="9"/>
        <v>1080.4620359999999</v>
      </c>
      <c r="V39" s="383">
        <f t="shared" si="9"/>
        <v>1141.2362639999999</v>
      </c>
      <c r="W39" s="383">
        <f t="shared" si="9"/>
        <v>1513.242029</v>
      </c>
      <c r="X39" s="383">
        <f t="shared" si="9"/>
        <v>1914.6006580000003</v>
      </c>
      <c r="Y39" s="383">
        <f t="shared" si="9"/>
        <v>2167.9782580000001</v>
      </c>
      <c r="Z39" s="383">
        <f t="shared" si="9"/>
        <v>2921.5065810000001</v>
      </c>
      <c r="AA39" s="383">
        <f t="shared" si="9"/>
        <v>2792.7862099999998</v>
      </c>
      <c r="AB39" s="383">
        <f t="shared" si="9"/>
        <v>3866.978024</v>
      </c>
      <c r="AC39" s="383">
        <f t="shared" si="9"/>
        <v>5288.7573659999989</v>
      </c>
      <c r="AD39" s="383">
        <f t="shared" si="9"/>
        <v>5095.445592</v>
      </c>
      <c r="AE39" s="383">
        <f t="shared" si="9"/>
        <v>5952.5658800000001</v>
      </c>
      <c r="AF39" s="383">
        <f t="shared" si="9"/>
        <v>6865.9578799999999</v>
      </c>
      <c r="AG39" s="383">
        <f t="shared" si="9"/>
        <v>5170.5527002500021</v>
      </c>
      <c r="AH39" s="383">
        <f t="shared" si="9"/>
        <v>4739.7898214400011</v>
      </c>
      <c r="AI39" s="383">
        <f t="shared" si="9"/>
        <v>6059.4655759000007</v>
      </c>
      <c r="AJ39" s="383">
        <f t="shared" si="9"/>
        <v>6054.3869251299957</v>
      </c>
      <c r="AK39" s="383">
        <f t="shared" si="9"/>
        <v>8519.3246301300023</v>
      </c>
      <c r="AL39" s="383">
        <f t="shared" si="9"/>
        <v>9115.3315840600008</v>
      </c>
      <c r="AM39" s="383">
        <f t="shared" si="9"/>
        <v>13984.212269589989</v>
      </c>
      <c r="AN39" s="383">
        <f t="shared" si="9"/>
        <v>11423.857262280002</v>
      </c>
      <c r="AO39" s="383">
        <f>SUM(AO37:AO38)</f>
        <v>12352.123516329999</v>
      </c>
      <c r="AP39" s="382">
        <f>SUM(AP37:AP38)</f>
        <v>126689.87651011001</v>
      </c>
      <c r="AQ39" s="384">
        <f>AP39/AP$39</f>
        <v>1</v>
      </c>
    </row>
    <row r="40" spans="1:45" x14ac:dyDescent="0.3">
      <c r="R40" s="126"/>
      <c r="S40" s="126"/>
      <c r="T40" s="126"/>
      <c r="U40" s="126"/>
      <c r="V40" s="126"/>
      <c r="W40" s="126"/>
      <c r="X40" s="126"/>
      <c r="Y40" s="126"/>
      <c r="Z40" s="126"/>
      <c r="AA40" s="126"/>
      <c r="AB40" s="126"/>
      <c r="AC40" s="126"/>
      <c r="AD40" s="126"/>
      <c r="AE40" s="126"/>
      <c r="AF40" s="126"/>
      <c r="AG40" s="126"/>
      <c r="AH40" s="126"/>
      <c r="AI40" s="126"/>
      <c r="AJ40" s="126"/>
      <c r="AK40" s="126"/>
      <c r="AL40" s="126"/>
      <c r="AM40" s="126"/>
      <c r="AR40" s="123"/>
      <c r="AS40" s="129"/>
    </row>
    <row r="41" spans="1:45" x14ac:dyDescent="0.3">
      <c r="A41" s="65"/>
      <c r="Z41" s="135"/>
      <c r="AA41" s="135"/>
      <c r="AB41" s="135"/>
      <c r="AC41" s="135"/>
      <c r="AD41" s="135"/>
      <c r="AE41" s="135"/>
      <c r="AF41" s="135"/>
      <c r="AG41" s="135"/>
      <c r="AH41" s="135"/>
      <c r="AI41" s="135"/>
      <c r="AJ41" s="135"/>
      <c r="AK41" s="135"/>
      <c r="AL41" s="135"/>
      <c r="AM41" s="135"/>
      <c r="AN41" s="62"/>
      <c r="AR41" s="123"/>
      <c r="AS41" s="129"/>
    </row>
    <row r="42" spans="1:45" x14ac:dyDescent="0.3">
      <c r="A42" s="65"/>
      <c r="Z42" s="135"/>
      <c r="AA42" s="135"/>
      <c r="AB42" s="133"/>
      <c r="AC42" s="133"/>
      <c r="AD42" s="133"/>
      <c r="AE42" s="133"/>
      <c r="AF42" s="133"/>
      <c r="AG42" s="133"/>
      <c r="AH42" s="133"/>
      <c r="AI42" s="133"/>
      <c r="AJ42" s="133"/>
      <c r="AK42" s="133"/>
      <c r="AL42" s="133"/>
      <c r="AM42" s="133"/>
      <c r="AN42" s="62"/>
      <c r="AR42" s="123"/>
      <c r="AS42" s="129"/>
    </row>
    <row r="43" spans="1:45" x14ac:dyDescent="0.3">
      <c r="A43" s="134"/>
      <c r="Z43" s="135"/>
      <c r="AA43" s="135"/>
      <c r="AB43" s="135"/>
      <c r="AC43" s="135"/>
      <c r="AD43" s="135"/>
      <c r="AE43" s="135"/>
      <c r="AF43" s="135"/>
      <c r="AG43" s="135"/>
      <c r="AH43" s="135"/>
      <c r="AI43" s="62"/>
      <c r="AJ43" s="62"/>
      <c r="AK43" s="62"/>
      <c r="AL43" s="62"/>
      <c r="AM43" s="62"/>
      <c r="AR43" s="123"/>
      <c r="AS43" s="136"/>
    </row>
    <row r="44" spans="1:45" x14ac:dyDescent="0.3">
      <c r="A44" s="65"/>
      <c r="Z44" s="135"/>
      <c r="AA44" s="135"/>
      <c r="AB44" s="135"/>
      <c r="AC44" s="135"/>
      <c r="AD44" s="135"/>
      <c r="AE44" s="135"/>
      <c r="AF44" s="135"/>
      <c r="AG44" s="135"/>
      <c r="AH44" s="135"/>
      <c r="AI44" s="62"/>
      <c r="AJ44" s="62"/>
      <c r="AK44" s="62"/>
      <c r="AL44" s="62"/>
      <c r="AM44" s="62"/>
      <c r="AR44" s="123"/>
      <c r="AS44" s="136"/>
    </row>
    <row r="45" spans="1:45" x14ac:dyDescent="0.3">
      <c r="A45" s="65"/>
      <c r="Z45" s="135"/>
      <c r="AA45" s="135"/>
      <c r="AB45" s="135"/>
      <c r="AC45" s="135"/>
      <c r="AD45" s="135"/>
      <c r="AE45" s="135"/>
      <c r="AF45" s="135"/>
      <c r="AG45" s="135"/>
      <c r="AH45" s="135"/>
      <c r="AI45" s="62"/>
      <c r="AJ45" s="62"/>
      <c r="AK45" s="62"/>
      <c r="AL45" s="62"/>
      <c r="AM45" s="62"/>
    </row>
    <row r="46" spans="1:45" x14ac:dyDescent="0.3">
      <c r="Z46" s="135"/>
      <c r="AA46" s="135"/>
      <c r="AB46" s="135"/>
      <c r="AC46" s="135"/>
      <c r="AD46" s="135"/>
      <c r="AE46" s="135"/>
      <c r="AF46" s="135"/>
      <c r="AG46" s="135"/>
      <c r="AH46" s="135"/>
      <c r="AI46" s="62"/>
      <c r="AJ46" s="62"/>
      <c r="AK46" s="62"/>
      <c r="AL46" s="62"/>
      <c r="AM46" s="62"/>
    </row>
    <row r="47" spans="1:45" x14ac:dyDescent="0.3">
      <c r="Z47" s="135"/>
      <c r="AA47" s="135"/>
      <c r="AB47" s="135"/>
      <c r="AC47" s="135"/>
      <c r="AD47" s="135"/>
      <c r="AE47" s="135"/>
      <c r="AF47" s="135"/>
      <c r="AG47" s="137"/>
      <c r="AH47" s="137"/>
      <c r="AI47" s="62"/>
      <c r="AJ47" s="62"/>
      <c r="AK47" s="62"/>
      <c r="AL47" s="62"/>
      <c r="AM47" s="62"/>
    </row>
    <row r="48" spans="1:45" x14ac:dyDescent="0.3">
      <c r="Z48" s="135"/>
      <c r="AA48" s="135"/>
      <c r="AB48" s="135"/>
      <c r="AC48" s="135"/>
      <c r="AD48" s="135"/>
      <c r="AE48" s="135"/>
      <c r="AF48" s="135"/>
      <c r="AG48" s="138"/>
      <c r="AH48" s="138"/>
      <c r="AI48" s="62"/>
      <c r="AJ48" s="62"/>
      <c r="AK48" s="62"/>
      <c r="AL48" s="62"/>
      <c r="AM48" s="62"/>
    </row>
    <row r="49" spans="26:39" x14ac:dyDescent="0.3">
      <c r="Z49" s="135"/>
      <c r="AA49" s="135"/>
      <c r="AB49" s="135"/>
      <c r="AC49" s="135"/>
      <c r="AD49" s="135"/>
      <c r="AE49" s="135"/>
      <c r="AF49" s="135"/>
      <c r="AG49" s="135"/>
      <c r="AH49" s="135"/>
      <c r="AI49" s="62"/>
      <c r="AJ49" s="62"/>
      <c r="AK49" s="62"/>
      <c r="AL49" s="62"/>
      <c r="AM49" s="62"/>
    </row>
    <row r="50" spans="26:39" x14ac:dyDescent="0.3">
      <c r="Z50" s="135"/>
      <c r="AA50" s="135"/>
      <c r="AB50" s="133"/>
      <c r="AC50" s="135"/>
      <c r="AD50" s="135"/>
      <c r="AE50" s="135"/>
      <c r="AF50" s="135"/>
      <c r="AG50" s="135"/>
      <c r="AH50" s="135"/>
      <c r="AI50" s="62"/>
      <c r="AJ50" s="62"/>
      <c r="AK50" s="62"/>
      <c r="AL50" s="62"/>
      <c r="AM50" s="62"/>
    </row>
    <row r="51" spans="26:39" x14ac:dyDescent="0.3">
      <c r="Z51" s="139"/>
      <c r="AA51" s="139"/>
      <c r="AB51" s="139"/>
      <c r="AC51" s="139"/>
      <c r="AD51" s="139"/>
      <c r="AE51" s="139"/>
      <c r="AF51" s="139"/>
      <c r="AG51" s="139"/>
      <c r="AH51" s="139"/>
      <c r="AI51" s="140"/>
      <c r="AJ51" s="140"/>
      <c r="AK51" s="140"/>
      <c r="AL51" s="140"/>
      <c r="AM51" s="140"/>
    </row>
    <row r="52" spans="26:39" x14ac:dyDescent="0.3">
      <c r="Z52" s="139"/>
      <c r="AA52" s="139"/>
      <c r="AB52" s="139"/>
      <c r="AC52" s="139"/>
      <c r="AD52" s="139"/>
      <c r="AE52" s="139"/>
      <c r="AF52" s="139"/>
      <c r="AG52" s="139"/>
      <c r="AH52" s="139"/>
      <c r="AI52" s="140"/>
      <c r="AJ52" s="140"/>
      <c r="AK52" s="140"/>
      <c r="AL52" s="140"/>
      <c r="AM52" s="140"/>
    </row>
    <row r="53" spans="26:39" x14ac:dyDescent="0.3">
      <c r="AI53" s="62"/>
      <c r="AJ53" s="62"/>
      <c r="AK53" s="62"/>
      <c r="AL53" s="62"/>
      <c r="AM53" s="62"/>
    </row>
    <row r="54" spans="26:39" x14ac:dyDescent="0.3">
      <c r="Z54" s="140"/>
      <c r="AA54" s="140"/>
      <c r="AB54" s="140"/>
      <c r="AC54" s="140"/>
      <c r="AD54" s="140"/>
      <c r="AE54" s="140"/>
      <c r="AF54" s="140"/>
      <c r="AG54" s="140"/>
      <c r="AH54" s="140"/>
      <c r="AI54" s="141"/>
      <c r="AJ54" s="141"/>
      <c r="AK54" s="141"/>
      <c r="AL54" s="141"/>
      <c r="AM54" s="141"/>
    </row>
    <row r="55" spans="26:39" x14ac:dyDescent="0.3">
      <c r="Z55" s="140"/>
      <c r="AA55" s="140"/>
      <c r="AB55" s="140"/>
      <c r="AC55" s="140"/>
      <c r="AD55" s="140"/>
      <c r="AE55" s="140"/>
      <c r="AF55" s="140"/>
      <c r="AG55" s="140"/>
      <c r="AH55" s="140"/>
      <c r="AI55" s="141"/>
      <c r="AJ55" s="141"/>
      <c r="AK55" s="141"/>
      <c r="AL55" s="141"/>
      <c r="AM55" s="141"/>
    </row>
    <row r="56" spans="26:39" x14ac:dyDescent="0.3">
      <c r="AA56" s="138"/>
      <c r="AB56" s="138"/>
      <c r="AC56" s="138"/>
      <c r="AD56" s="138"/>
      <c r="AE56" s="138"/>
      <c r="AF56" s="138"/>
      <c r="AG56" s="138"/>
      <c r="AH56" s="138"/>
      <c r="AI56" s="62"/>
      <c r="AJ56" s="62"/>
      <c r="AK56" s="62"/>
      <c r="AL56" s="62"/>
      <c r="AM56" s="62"/>
    </row>
    <row r="57" spans="26:39" x14ac:dyDescent="0.3">
      <c r="AA57" s="138"/>
      <c r="AB57" s="138"/>
      <c r="AC57" s="138"/>
      <c r="AD57" s="138"/>
      <c r="AE57" s="138"/>
      <c r="AF57" s="138"/>
      <c r="AG57" s="138"/>
      <c r="AH57" s="138"/>
      <c r="AI57" s="62"/>
      <c r="AJ57" s="62"/>
      <c r="AK57" s="62"/>
      <c r="AL57" s="62"/>
      <c r="AM57" s="62"/>
    </row>
    <row r="58" spans="26:39" x14ac:dyDescent="0.3">
      <c r="AA58" s="138"/>
      <c r="AB58" s="138"/>
      <c r="AC58" s="138"/>
      <c r="AD58" s="138"/>
      <c r="AE58" s="138"/>
      <c r="AF58" s="138"/>
      <c r="AG58" s="138"/>
      <c r="AH58" s="138"/>
      <c r="AI58" s="62"/>
      <c r="AJ58" s="62"/>
      <c r="AK58" s="62"/>
      <c r="AL58" s="62"/>
      <c r="AM58" s="62"/>
    </row>
    <row r="59" spans="26:39" x14ac:dyDescent="0.3">
      <c r="AA59" s="138"/>
      <c r="AB59" s="138"/>
      <c r="AC59" s="138"/>
      <c r="AD59" s="138"/>
      <c r="AE59" s="138"/>
      <c r="AF59" s="138"/>
      <c r="AG59" s="138"/>
      <c r="AH59" s="138"/>
      <c r="AI59" s="62"/>
      <c r="AJ59" s="62"/>
      <c r="AK59" s="62"/>
      <c r="AL59" s="62"/>
      <c r="AM59" s="62"/>
    </row>
    <row r="60" spans="26:39" x14ac:dyDescent="0.3">
      <c r="AA60" s="138"/>
      <c r="AB60" s="138"/>
      <c r="AC60" s="138"/>
      <c r="AD60" s="138"/>
      <c r="AE60" s="138"/>
      <c r="AF60" s="138"/>
      <c r="AG60" s="138"/>
      <c r="AH60" s="138"/>
      <c r="AI60" s="62"/>
      <c r="AJ60" s="62"/>
      <c r="AK60" s="62"/>
      <c r="AL60" s="62"/>
      <c r="AM60" s="62"/>
    </row>
    <row r="61" spans="26:39" x14ac:dyDescent="0.3">
      <c r="AA61" s="138"/>
      <c r="AB61" s="138"/>
      <c r="AC61" s="138"/>
      <c r="AD61" s="138"/>
      <c r="AE61" s="138"/>
      <c r="AF61" s="138"/>
      <c r="AG61" s="138"/>
      <c r="AH61" s="138"/>
      <c r="AI61" s="62"/>
      <c r="AJ61" s="62"/>
      <c r="AK61" s="62"/>
      <c r="AL61" s="62"/>
      <c r="AM61" s="62"/>
    </row>
    <row r="62" spans="26:39" x14ac:dyDescent="0.3">
      <c r="AA62" s="138"/>
      <c r="AB62" s="138"/>
      <c r="AC62" s="138"/>
      <c r="AD62" s="138"/>
      <c r="AE62" s="138"/>
      <c r="AF62" s="138"/>
      <c r="AG62" s="138"/>
      <c r="AH62" s="138"/>
      <c r="AI62" s="62"/>
      <c r="AJ62" s="62"/>
      <c r="AK62" s="62"/>
      <c r="AL62" s="62"/>
      <c r="AM62" s="62"/>
    </row>
    <row r="63" spans="26:39" x14ac:dyDescent="0.3">
      <c r="AA63" s="138"/>
      <c r="AB63" s="138"/>
      <c r="AC63" s="138"/>
      <c r="AD63" s="138"/>
      <c r="AE63" s="138"/>
      <c r="AF63" s="138"/>
      <c r="AG63" s="138"/>
      <c r="AH63" s="138"/>
      <c r="AI63" s="62"/>
      <c r="AJ63" s="62"/>
      <c r="AK63" s="62"/>
      <c r="AL63" s="62"/>
      <c r="AM63" s="62"/>
    </row>
    <row r="64" spans="26:39" x14ac:dyDescent="0.3">
      <c r="AA64" s="138"/>
      <c r="AB64" s="138"/>
      <c r="AC64" s="138"/>
      <c r="AD64" s="138"/>
      <c r="AE64" s="138"/>
      <c r="AF64" s="138"/>
      <c r="AG64" s="138"/>
      <c r="AH64" s="138"/>
      <c r="AI64" s="62"/>
      <c r="AJ64" s="62"/>
      <c r="AK64" s="62"/>
      <c r="AL64" s="62"/>
      <c r="AM64" s="62"/>
    </row>
    <row r="65" spans="26:39" x14ac:dyDescent="0.3">
      <c r="Z65" s="140"/>
      <c r="AA65" s="142"/>
      <c r="AB65" s="142"/>
      <c r="AC65" s="142"/>
      <c r="AD65" s="142"/>
      <c r="AE65" s="142"/>
      <c r="AF65" s="142"/>
      <c r="AG65" s="142"/>
      <c r="AH65" s="142"/>
      <c r="AI65" s="140"/>
      <c r="AJ65" s="140"/>
      <c r="AK65" s="140"/>
      <c r="AL65" s="140"/>
      <c r="AM65" s="140"/>
    </row>
    <row r="66" spans="26:39" x14ac:dyDescent="0.3">
      <c r="Z66" s="140"/>
      <c r="AA66" s="142"/>
      <c r="AB66" s="142"/>
      <c r="AC66" s="142"/>
      <c r="AD66" s="142"/>
      <c r="AE66" s="142"/>
      <c r="AF66" s="142"/>
      <c r="AG66" s="142"/>
      <c r="AH66" s="142"/>
      <c r="AI66" s="140"/>
      <c r="AJ66" s="140"/>
      <c r="AK66" s="140"/>
      <c r="AL66" s="140"/>
      <c r="AM66" s="140"/>
    </row>
    <row r="68" spans="26:39" x14ac:dyDescent="0.3">
      <c r="Z68" s="135"/>
      <c r="AA68" s="135"/>
      <c r="AB68" s="135"/>
      <c r="AC68" s="135"/>
      <c r="AD68" s="135"/>
      <c r="AE68" s="135"/>
      <c r="AF68" s="135"/>
      <c r="AG68" s="135"/>
      <c r="AH68" s="135"/>
      <c r="AI68" s="135"/>
      <c r="AJ68" s="135"/>
      <c r="AK68" s="135"/>
      <c r="AL68" s="135"/>
      <c r="AM68" s="135"/>
    </row>
    <row r="69" spans="26:39" x14ac:dyDescent="0.3">
      <c r="Z69" s="135"/>
      <c r="AA69" s="135"/>
      <c r="AB69" s="135"/>
      <c r="AC69" s="135"/>
      <c r="AD69" s="135"/>
      <c r="AE69" s="135"/>
      <c r="AF69" s="135"/>
      <c r="AG69" s="135"/>
      <c r="AH69" s="135"/>
      <c r="AI69" s="135"/>
      <c r="AJ69" s="135"/>
      <c r="AK69" s="135"/>
      <c r="AL69" s="135"/>
      <c r="AM69" s="135"/>
    </row>
    <row r="70" spans="26:39" x14ac:dyDescent="0.3">
      <c r="Z70" s="135"/>
      <c r="AA70" s="135"/>
      <c r="AB70" s="135"/>
      <c r="AC70" s="135"/>
      <c r="AD70" s="135"/>
      <c r="AE70" s="135"/>
      <c r="AF70" s="135"/>
      <c r="AG70" s="135"/>
      <c r="AH70" s="135"/>
      <c r="AI70" s="135"/>
      <c r="AJ70" s="135"/>
      <c r="AK70" s="135"/>
      <c r="AL70" s="135"/>
      <c r="AM70" s="135"/>
    </row>
    <row r="71" spans="26:39" x14ac:dyDescent="0.3">
      <c r="Z71" s="135"/>
      <c r="AA71" s="135"/>
      <c r="AB71" s="135"/>
      <c r="AC71" s="135"/>
      <c r="AD71" s="135"/>
      <c r="AE71" s="135"/>
      <c r="AF71" s="135"/>
      <c r="AG71" s="135"/>
      <c r="AH71" s="135"/>
      <c r="AI71" s="135"/>
      <c r="AJ71" s="135"/>
      <c r="AK71" s="135"/>
      <c r="AL71" s="135"/>
      <c r="AM71" s="135"/>
    </row>
    <row r="72" spans="26:39" x14ac:dyDescent="0.3">
      <c r="Z72" s="135"/>
      <c r="AA72" s="135"/>
      <c r="AB72" s="135"/>
      <c r="AC72" s="135"/>
      <c r="AD72" s="135"/>
      <c r="AE72" s="135"/>
      <c r="AF72" s="135"/>
      <c r="AG72" s="135"/>
      <c r="AH72" s="135"/>
      <c r="AI72" s="135"/>
      <c r="AJ72" s="135"/>
      <c r="AK72" s="135"/>
      <c r="AL72" s="135"/>
      <c r="AM72" s="135"/>
    </row>
    <row r="73" spans="26:39" x14ac:dyDescent="0.3">
      <c r="Z73" s="135"/>
      <c r="AA73" s="135"/>
      <c r="AB73" s="135"/>
      <c r="AC73" s="135"/>
      <c r="AD73" s="135"/>
      <c r="AE73" s="135"/>
      <c r="AF73" s="135"/>
      <c r="AG73" s="135"/>
      <c r="AH73" s="135"/>
      <c r="AI73" s="135"/>
      <c r="AJ73" s="135"/>
      <c r="AK73" s="135"/>
      <c r="AL73" s="135"/>
      <c r="AM73" s="135"/>
    </row>
    <row r="74" spans="26:39" x14ac:dyDescent="0.3">
      <c r="Z74" s="135"/>
      <c r="AA74" s="135"/>
      <c r="AB74" s="135"/>
      <c r="AC74" s="135"/>
      <c r="AD74" s="135"/>
      <c r="AE74" s="135"/>
      <c r="AF74" s="135"/>
      <c r="AG74" s="135"/>
      <c r="AH74" s="135"/>
      <c r="AI74" s="135"/>
      <c r="AJ74" s="135"/>
      <c r="AK74" s="135"/>
      <c r="AL74" s="135"/>
      <c r="AM74" s="135"/>
    </row>
    <row r="75" spans="26:39" x14ac:dyDescent="0.3">
      <c r="Z75" s="135"/>
      <c r="AA75" s="135"/>
      <c r="AB75" s="135"/>
      <c r="AC75" s="135"/>
      <c r="AD75" s="135"/>
      <c r="AE75" s="135"/>
      <c r="AF75" s="135"/>
      <c r="AG75" s="135"/>
      <c r="AH75" s="135"/>
      <c r="AI75" s="135"/>
      <c r="AJ75" s="135"/>
      <c r="AK75" s="135"/>
      <c r="AL75" s="135"/>
      <c r="AM75" s="135"/>
    </row>
    <row r="76" spans="26:39" x14ac:dyDescent="0.3">
      <c r="Z76" s="135"/>
      <c r="AA76" s="135"/>
      <c r="AB76" s="135"/>
      <c r="AC76" s="135"/>
      <c r="AD76" s="135"/>
      <c r="AE76" s="135"/>
      <c r="AF76" s="135"/>
      <c r="AG76" s="135"/>
      <c r="AH76" s="135"/>
      <c r="AI76" s="135"/>
      <c r="AJ76" s="135"/>
      <c r="AK76" s="135"/>
      <c r="AL76" s="135"/>
      <c r="AM76" s="135"/>
    </row>
    <row r="77" spans="26:39" x14ac:dyDescent="0.3">
      <c r="Z77" s="135"/>
      <c r="AA77" s="135"/>
      <c r="AB77" s="135"/>
      <c r="AC77" s="135"/>
      <c r="AD77" s="135"/>
      <c r="AE77" s="135"/>
      <c r="AF77" s="135"/>
      <c r="AG77" s="135"/>
      <c r="AH77" s="135"/>
      <c r="AI77" s="135"/>
      <c r="AJ77" s="135"/>
      <c r="AK77" s="135"/>
      <c r="AL77" s="135"/>
      <c r="AM77" s="135"/>
    </row>
    <row r="78" spans="26:39" x14ac:dyDescent="0.3">
      <c r="Z78" s="135"/>
      <c r="AA78" s="135"/>
      <c r="AB78" s="135"/>
      <c r="AC78" s="135"/>
      <c r="AD78" s="135"/>
      <c r="AE78" s="135"/>
      <c r="AF78" s="135"/>
      <c r="AG78" s="135"/>
      <c r="AH78" s="135"/>
      <c r="AI78" s="135"/>
      <c r="AJ78" s="135"/>
      <c r="AK78" s="135"/>
      <c r="AL78" s="135"/>
      <c r="AM78" s="135"/>
    </row>
    <row r="79" spans="26:39" x14ac:dyDescent="0.3">
      <c r="Z79" s="135"/>
      <c r="AA79" s="135"/>
      <c r="AB79" s="135"/>
      <c r="AC79" s="135"/>
      <c r="AD79" s="135"/>
      <c r="AE79" s="135"/>
      <c r="AF79" s="135"/>
      <c r="AG79" s="135"/>
      <c r="AH79" s="135"/>
      <c r="AI79" s="135"/>
      <c r="AJ79" s="135"/>
      <c r="AK79" s="135"/>
      <c r="AL79" s="135"/>
      <c r="AM79" s="135"/>
    </row>
    <row r="80" spans="26:39" x14ac:dyDescent="0.3">
      <c r="Z80" s="135"/>
      <c r="AA80" s="135"/>
      <c r="AB80" s="135"/>
      <c r="AC80" s="135"/>
      <c r="AD80" s="135"/>
      <c r="AE80" s="135"/>
      <c r="AF80" s="135"/>
      <c r="AG80" s="135"/>
      <c r="AH80" s="135"/>
      <c r="AI80" s="135"/>
      <c r="AJ80" s="135"/>
      <c r="AK80" s="135"/>
      <c r="AL80" s="135"/>
      <c r="AM80" s="135"/>
    </row>
    <row r="81" spans="26:39" x14ac:dyDescent="0.3">
      <c r="Z81" s="135"/>
      <c r="AA81" s="135"/>
      <c r="AB81" s="135"/>
      <c r="AC81" s="135"/>
      <c r="AD81" s="135"/>
      <c r="AE81" s="135"/>
      <c r="AF81" s="135"/>
      <c r="AG81" s="135"/>
      <c r="AH81" s="135"/>
      <c r="AI81" s="135"/>
      <c r="AJ81" s="135"/>
      <c r="AK81" s="135"/>
      <c r="AL81" s="135"/>
      <c r="AM81" s="135"/>
    </row>
    <row r="82" spans="26:39" x14ac:dyDescent="0.3">
      <c r="Z82" s="135"/>
      <c r="AA82" s="135"/>
      <c r="AB82" s="135"/>
      <c r="AC82" s="135"/>
      <c r="AD82" s="135"/>
      <c r="AE82" s="135"/>
      <c r="AF82" s="135"/>
      <c r="AG82" s="135"/>
      <c r="AH82" s="135"/>
      <c r="AI82" s="135"/>
      <c r="AJ82" s="135"/>
      <c r="AK82" s="135"/>
      <c r="AL82" s="135"/>
      <c r="AM82" s="135"/>
    </row>
    <row r="83" spans="26:39" x14ac:dyDescent="0.3">
      <c r="Z83" s="135"/>
      <c r="AA83" s="135"/>
      <c r="AB83" s="135"/>
      <c r="AC83" s="135"/>
      <c r="AD83" s="135"/>
      <c r="AE83" s="135"/>
      <c r="AF83" s="135"/>
      <c r="AG83" s="135"/>
      <c r="AH83" s="135"/>
      <c r="AI83" s="135"/>
      <c r="AJ83" s="135"/>
      <c r="AK83" s="135"/>
      <c r="AL83" s="135"/>
      <c r="AM83" s="135"/>
    </row>
    <row r="84" spans="26:39" x14ac:dyDescent="0.3">
      <c r="Z84" s="135"/>
      <c r="AA84" s="135"/>
      <c r="AB84" s="135"/>
      <c r="AC84" s="135"/>
      <c r="AD84" s="135"/>
      <c r="AE84" s="135"/>
      <c r="AF84" s="135"/>
      <c r="AG84" s="135"/>
      <c r="AH84" s="135"/>
      <c r="AI84" s="135"/>
      <c r="AJ84" s="135"/>
      <c r="AK84" s="135"/>
      <c r="AL84" s="135"/>
      <c r="AM84" s="135"/>
    </row>
    <row r="85" spans="26:39" x14ac:dyDescent="0.3">
      <c r="Z85" s="135"/>
      <c r="AA85" s="135"/>
      <c r="AB85" s="135"/>
      <c r="AC85" s="135"/>
      <c r="AD85" s="135"/>
      <c r="AE85" s="135"/>
      <c r="AF85" s="135"/>
      <c r="AG85" s="135"/>
      <c r="AH85" s="135"/>
      <c r="AI85" s="135"/>
      <c r="AJ85" s="135"/>
      <c r="AK85" s="135"/>
      <c r="AL85" s="135"/>
      <c r="AM85" s="135"/>
    </row>
    <row r="86" spans="26:39" x14ac:dyDescent="0.3">
      <c r="Z86" s="135"/>
      <c r="AA86" s="135"/>
      <c r="AB86" s="135"/>
      <c r="AC86" s="135"/>
      <c r="AD86" s="135"/>
      <c r="AE86" s="135"/>
      <c r="AF86" s="135"/>
      <c r="AG86" s="135"/>
      <c r="AH86" s="135"/>
      <c r="AI86" s="135"/>
      <c r="AJ86" s="135"/>
      <c r="AK86" s="135"/>
      <c r="AL86" s="135"/>
      <c r="AM86" s="135"/>
    </row>
    <row r="87" spans="26:39" x14ac:dyDescent="0.3">
      <c r="Z87" s="135"/>
      <c r="AA87" s="135"/>
      <c r="AB87" s="135"/>
      <c r="AC87" s="135"/>
      <c r="AD87" s="135"/>
      <c r="AE87" s="135"/>
      <c r="AF87" s="135"/>
      <c r="AG87" s="135"/>
      <c r="AH87" s="135"/>
      <c r="AI87" s="135"/>
      <c r="AJ87" s="135"/>
      <c r="AK87" s="135"/>
      <c r="AL87" s="135"/>
      <c r="AM87" s="135"/>
    </row>
    <row r="88" spans="26:39" x14ac:dyDescent="0.3">
      <c r="Z88" s="135"/>
      <c r="AA88" s="135"/>
      <c r="AB88" s="135"/>
      <c r="AC88" s="135"/>
      <c r="AD88" s="135"/>
      <c r="AE88" s="135"/>
      <c r="AF88" s="135"/>
      <c r="AG88" s="135"/>
      <c r="AH88" s="135"/>
      <c r="AI88" s="135"/>
      <c r="AJ88" s="135"/>
      <c r="AK88" s="135"/>
      <c r="AL88" s="135"/>
      <c r="AM88" s="135"/>
    </row>
    <row r="89" spans="26:39" x14ac:dyDescent="0.3">
      <c r="Z89" s="135"/>
      <c r="AA89" s="135"/>
      <c r="AB89" s="135"/>
      <c r="AC89" s="135"/>
      <c r="AD89" s="135"/>
      <c r="AE89" s="135"/>
      <c r="AF89" s="135"/>
      <c r="AG89" s="135"/>
      <c r="AH89" s="135"/>
      <c r="AI89" s="135"/>
      <c r="AJ89" s="135"/>
      <c r="AK89" s="135"/>
      <c r="AL89" s="135"/>
      <c r="AM89" s="135"/>
    </row>
    <row r="90" spans="26:39" x14ac:dyDescent="0.3">
      <c r="Z90" s="135"/>
      <c r="AA90" s="135"/>
      <c r="AB90" s="135"/>
      <c r="AC90" s="135"/>
      <c r="AD90" s="135"/>
      <c r="AE90" s="135"/>
      <c r="AF90" s="135"/>
      <c r="AG90" s="135"/>
      <c r="AH90" s="135"/>
      <c r="AI90" s="135"/>
      <c r="AJ90" s="135"/>
      <c r="AK90" s="135"/>
      <c r="AL90" s="135"/>
      <c r="AM90" s="135"/>
    </row>
    <row r="91" spans="26:39" x14ac:dyDescent="0.3">
      <c r="Z91" s="135"/>
      <c r="AA91" s="135"/>
      <c r="AB91" s="135"/>
      <c r="AC91" s="135"/>
      <c r="AD91" s="135"/>
      <c r="AE91" s="135"/>
      <c r="AF91" s="135"/>
      <c r="AG91" s="135"/>
      <c r="AH91" s="135"/>
      <c r="AI91" s="135"/>
      <c r="AJ91" s="135"/>
      <c r="AK91" s="135"/>
      <c r="AL91" s="135"/>
      <c r="AM91" s="135"/>
    </row>
    <row r="92" spans="26:39" x14ac:dyDescent="0.3">
      <c r="Z92" s="135"/>
    </row>
    <row r="93" spans="26:39" x14ac:dyDescent="0.3">
      <c r="Z93" s="135"/>
    </row>
    <row r="94" spans="26:39" x14ac:dyDescent="0.3">
      <c r="Z94" s="135"/>
    </row>
    <row r="95" spans="26:39" x14ac:dyDescent="0.3">
      <c r="Z95" s="135"/>
    </row>
    <row r="96" spans="26:39" x14ac:dyDescent="0.3">
      <c r="Z96" s="135"/>
    </row>
    <row r="97" spans="26:26" x14ac:dyDescent="0.3">
      <c r="Z97" s="135"/>
    </row>
    <row r="98" spans="26:26" x14ac:dyDescent="0.3">
      <c r="Z98" s="135"/>
    </row>
    <row r="99" spans="26:26" x14ac:dyDescent="0.3">
      <c r="Z99" s="135"/>
    </row>
    <row r="204" spans="2:2" x14ac:dyDescent="0.3">
      <c r="B204">
        <v>63.54</v>
      </c>
    </row>
    <row r="205" spans="2:2" x14ac:dyDescent="0.3">
      <c r="B205">
        <v>63.86</v>
      </c>
    </row>
    <row r="206" spans="2:2" x14ac:dyDescent="0.3">
      <c r="B206">
        <v>63.7</v>
      </c>
    </row>
    <row r="207" spans="2:2" x14ac:dyDescent="0.3">
      <c r="B207">
        <v>64.67</v>
      </c>
    </row>
    <row r="208" spans="2:2" x14ac:dyDescent="0.3">
      <c r="B208">
        <v>65.03</v>
      </c>
    </row>
    <row r="209" spans="2:2" x14ac:dyDescent="0.3">
      <c r="B209">
        <v>64.67</v>
      </c>
    </row>
    <row r="210" spans="2:2" x14ac:dyDescent="0.3">
      <c r="B210">
        <v>65.260000000000005</v>
      </c>
    </row>
    <row r="211" spans="2:2" x14ac:dyDescent="0.3">
      <c r="B211">
        <v>66.599999999999994</v>
      </c>
    </row>
    <row r="212" spans="2:2" x14ac:dyDescent="0.3">
      <c r="B212">
        <v>66.28</v>
      </c>
    </row>
    <row r="213" spans="2:2" x14ac:dyDescent="0.3">
      <c r="B213">
        <v>65.11</v>
      </c>
    </row>
    <row r="214" spans="2:2" x14ac:dyDescent="0.3">
      <c r="B214">
        <v>64.040000000000006</v>
      </c>
    </row>
    <row r="215" spans="2:2" x14ac:dyDescent="0.3">
      <c r="B215">
        <v>64.569999999999993</v>
      </c>
    </row>
  </sheetData>
  <mergeCells count="4">
    <mergeCell ref="A8:A9"/>
    <mergeCell ref="AQ8:AR8"/>
    <mergeCell ref="A25:A26"/>
    <mergeCell ref="AP25:AQ25"/>
  </mergeCells>
  <pageMargins left="0.7" right="0.7" top="0.75" bottom="0.75" header="0.3" footer="0.3"/>
  <pageSetup paperSize="9" orientation="portrait" r:id="rId1"/>
  <ignoredErrors>
    <ignoredError sqref="AP21 AH22:AO22 AL38 AH38:AK38 AM38:AO38" formulaRange="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375BB-E2A3-4B4E-8771-E2B9DCCD45E7}">
  <sheetPr codeName="Sheet16"/>
  <dimension ref="A1:GH106"/>
  <sheetViews>
    <sheetView showGridLines="0" zoomScale="85" zoomScaleNormal="85" workbookViewId="0">
      <pane xSplit="1" topLeftCell="B1" activePane="topRight" state="frozen"/>
      <selection pane="topRight"/>
    </sheetView>
  </sheetViews>
  <sheetFormatPr defaultColWidth="9.109375" defaultRowHeight="14.4" x14ac:dyDescent="0.3"/>
  <cols>
    <col min="1" max="1" width="75.6640625" customWidth="1"/>
    <col min="2" max="20" width="10.33203125" customWidth="1"/>
  </cols>
  <sheetData>
    <row r="1" spans="1:190" ht="15.75" customHeight="1" x14ac:dyDescent="0.3">
      <c r="B1" s="386">
        <f t="shared" ref="B1:BM1" ca="1" si="0">INDIRECT(ADDRESS(MATCH($P$52,$A$1:$A$22,0),COLUMN(B$2)))</f>
        <v>43595.546999999999</v>
      </c>
      <c r="C1" s="386">
        <f t="shared" ca="1" si="0"/>
        <v>42229.159</v>
      </c>
      <c r="D1" s="386">
        <f t="shared" ca="1" si="0"/>
        <v>44564.5795</v>
      </c>
      <c r="E1" s="386">
        <f t="shared" ca="1" si="0"/>
        <v>49273.182500000003</v>
      </c>
      <c r="F1" s="386">
        <f t="shared" ca="1" si="0"/>
        <v>53265.976000000002</v>
      </c>
      <c r="G1" s="386">
        <f t="shared" ca="1" si="0"/>
        <v>60661.724000000002</v>
      </c>
      <c r="H1" s="386">
        <f t="shared" ca="1" si="0"/>
        <v>66564.577999999994</v>
      </c>
      <c r="I1" s="386">
        <f t="shared" ca="1" si="0"/>
        <v>73593.718999999997</v>
      </c>
      <c r="J1" s="386">
        <f t="shared" ca="1" si="0"/>
        <v>69937.668000000005</v>
      </c>
      <c r="K1" s="386">
        <f t="shared" ca="1" si="0"/>
        <v>75338.760500000004</v>
      </c>
      <c r="L1" s="386">
        <f t="shared" ca="1" si="0"/>
        <v>89653.153000000006</v>
      </c>
      <c r="M1" s="386">
        <f t="shared" ca="1" si="0"/>
        <v>102144.7945</v>
      </c>
      <c r="N1" s="386">
        <f t="shared" ca="1" si="0"/>
        <v>104080.7015</v>
      </c>
      <c r="O1" s="386">
        <f t="shared" ca="1" si="0"/>
        <v>97493.983500000002</v>
      </c>
      <c r="P1" s="386">
        <f t="shared" ca="1" si="0"/>
        <v>91107.532500000001</v>
      </c>
      <c r="Q1" s="386">
        <f t="shared" ca="1" si="0"/>
        <v>85435.5</v>
      </c>
      <c r="R1" s="386">
        <f t="shared" ca="1" si="0"/>
        <v>88877.331000000006</v>
      </c>
      <c r="S1" s="386">
        <f t="shared" ca="1" si="0"/>
        <v>96897.808499999999</v>
      </c>
      <c r="T1" s="386">
        <f t="shared" ca="1" si="0"/>
        <v>105054.796</v>
      </c>
      <c r="U1" s="386">
        <f t="shared" ca="1" si="0"/>
        <v>112005.356</v>
      </c>
      <c r="V1" s="386">
        <f t="shared" ca="1" si="0"/>
        <v>122250.8845</v>
      </c>
      <c r="W1" s="386">
        <f t="shared" ca="1" si="0"/>
        <v>127333.99249999999</v>
      </c>
      <c r="X1" s="386">
        <f t="shared" ca="1" si="0"/>
        <v>134716.70000000001</v>
      </c>
      <c r="Y1" s="386">
        <f t="shared" ca="1" si="0"/>
        <v>0</v>
      </c>
      <c r="Z1" s="386">
        <f t="shared" ca="1" si="0"/>
        <v>0</v>
      </c>
      <c r="AA1" s="386">
        <f t="shared" ca="1" si="0"/>
        <v>0</v>
      </c>
      <c r="AB1" s="386">
        <f t="shared" ca="1" si="0"/>
        <v>0</v>
      </c>
      <c r="AC1" s="386">
        <f t="shared" ca="1" si="0"/>
        <v>0</v>
      </c>
      <c r="AD1" s="386">
        <f t="shared" ca="1" si="0"/>
        <v>0</v>
      </c>
      <c r="AE1" s="386">
        <f t="shared" ca="1" si="0"/>
        <v>0</v>
      </c>
      <c r="AF1" s="386">
        <f t="shared" ca="1" si="0"/>
        <v>0</v>
      </c>
      <c r="AG1" s="386">
        <f t="shared" ca="1" si="0"/>
        <v>0</v>
      </c>
      <c r="AH1" s="386">
        <f t="shared" ca="1" si="0"/>
        <v>0</v>
      </c>
      <c r="AI1" s="386">
        <f t="shared" ca="1" si="0"/>
        <v>0</v>
      </c>
      <c r="AJ1" s="386">
        <f t="shared" ca="1" si="0"/>
        <v>0</v>
      </c>
      <c r="AK1" s="386">
        <f t="shared" ca="1" si="0"/>
        <v>0</v>
      </c>
      <c r="AL1" s="386">
        <f t="shared" ca="1" si="0"/>
        <v>0</v>
      </c>
      <c r="AM1" s="386">
        <f t="shared" ca="1" si="0"/>
        <v>0</v>
      </c>
      <c r="AN1" s="386">
        <f t="shared" ca="1" si="0"/>
        <v>0</v>
      </c>
      <c r="AO1" s="386">
        <f t="shared" ca="1" si="0"/>
        <v>0</v>
      </c>
      <c r="AP1" s="386">
        <f t="shared" ca="1" si="0"/>
        <v>0</v>
      </c>
      <c r="AQ1" s="386">
        <f t="shared" ca="1" si="0"/>
        <v>0</v>
      </c>
      <c r="AR1" s="386">
        <f t="shared" ca="1" si="0"/>
        <v>0</v>
      </c>
      <c r="AS1" s="386">
        <f t="shared" ca="1" si="0"/>
        <v>0</v>
      </c>
      <c r="AT1" s="386">
        <f t="shared" ca="1" si="0"/>
        <v>0</v>
      </c>
      <c r="AU1" s="386">
        <f t="shared" ca="1" si="0"/>
        <v>0</v>
      </c>
      <c r="AV1" s="386">
        <f t="shared" ca="1" si="0"/>
        <v>0</v>
      </c>
      <c r="AW1" s="386">
        <f t="shared" ca="1" si="0"/>
        <v>0</v>
      </c>
      <c r="AX1" s="386">
        <f t="shared" ca="1" si="0"/>
        <v>0</v>
      </c>
      <c r="AY1" s="386">
        <f t="shared" ca="1" si="0"/>
        <v>0</v>
      </c>
      <c r="AZ1" s="386">
        <f t="shared" ca="1" si="0"/>
        <v>0</v>
      </c>
      <c r="BA1" s="386">
        <f t="shared" ca="1" si="0"/>
        <v>0</v>
      </c>
      <c r="BB1" s="386">
        <f t="shared" ca="1" si="0"/>
        <v>0</v>
      </c>
      <c r="BC1" s="386">
        <f t="shared" ca="1" si="0"/>
        <v>0</v>
      </c>
      <c r="BD1" s="386">
        <f t="shared" ca="1" si="0"/>
        <v>0</v>
      </c>
      <c r="BE1" s="386">
        <f t="shared" ca="1" si="0"/>
        <v>0</v>
      </c>
      <c r="BF1" s="386">
        <f t="shared" ca="1" si="0"/>
        <v>0</v>
      </c>
      <c r="BG1" s="386">
        <f t="shared" ca="1" si="0"/>
        <v>0</v>
      </c>
      <c r="BH1" s="386">
        <f t="shared" ca="1" si="0"/>
        <v>0</v>
      </c>
      <c r="BI1" s="386">
        <f t="shared" ca="1" si="0"/>
        <v>0</v>
      </c>
      <c r="BJ1" s="386">
        <f t="shared" ca="1" si="0"/>
        <v>0</v>
      </c>
      <c r="BK1" s="386">
        <f t="shared" ca="1" si="0"/>
        <v>0</v>
      </c>
      <c r="BL1" s="386">
        <f t="shared" ca="1" si="0"/>
        <v>0</v>
      </c>
      <c r="BM1" s="386">
        <f t="shared" ca="1" si="0"/>
        <v>0</v>
      </c>
      <c r="BN1" s="386">
        <f t="shared" ref="BN1:DY1" ca="1" si="1">INDIRECT(ADDRESS(MATCH($P$52,$A$1:$A$22,0),COLUMN(BN$2)))</f>
        <v>0</v>
      </c>
      <c r="BO1" s="386">
        <f t="shared" ca="1" si="1"/>
        <v>0</v>
      </c>
      <c r="BP1" s="386">
        <f t="shared" ca="1" si="1"/>
        <v>0</v>
      </c>
      <c r="BQ1" s="386">
        <f t="shared" ca="1" si="1"/>
        <v>0</v>
      </c>
      <c r="BR1" s="386">
        <f t="shared" ca="1" si="1"/>
        <v>0</v>
      </c>
      <c r="BS1" s="386">
        <f t="shared" ca="1" si="1"/>
        <v>0</v>
      </c>
      <c r="BT1" s="386">
        <f t="shared" ca="1" si="1"/>
        <v>0</v>
      </c>
      <c r="BU1" s="386">
        <f t="shared" ca="1" si="1"/>
        <v>0</v>
      </c>
      <c r="BV1" s="386">
        <f t="shared" ca="1" si="1"/>
        <v>0</v>
      </c>
      <c r="BW1" s="386">
        <f t="shared" ca="1" si="1"/>
        <v>0</v>
      </c>
      <c r="BX1" s="386">
        <f t="shared" ca="1" si="1"/>
        <v>0</v>
      </c>
      <c r="BY1" s="386">
        <f t="shared" ca="1" si="1"/>
        <v>0</v>
      </c>
      <c r="BZ1" s="386">
        <f t="shared" ca="1" si="1"/>
        <v>0</v>
      </c>
      <c r="CA1" s="386">
        <f t="shared" ca="1" si="1"/>
        <v>0</v>
      </c>
      <c r="CB1" s="386">
        <f t="shared" ca="1" si="1"/>
        <v>0</v>
      </c>
      <c r="CC1" s="386">
        <f t="shared" ca="1" si="1"/>
        <v>0</v>
      </c>
      <c r="CD1" s="386">
        <f t="shared" ca="1" si="1"/>
        <v>0</v>
      </c>
      <c r="CE1" s="386">
        <f t="shared" ca="1" si="1"/>
        <v>0</v>
      </c>
      <c r="CF1" s="386">
        <f t="shared" ca="1" si="1"/>
        <v>0</v>
      </c>
      <c r="CG1" s="386">
        <f t="shared" ca="1" si="1"/>
        <v>0</v>
      </c>
      <c r="CH1" s="386">
        <f t="shared" ca="1" si="1"/>
        <v>0</v>
      </c>
      <c r="CI1" s="386">
        <f t="shared" ca="1" si="1"/>
        <v>0</v>
      </c>
      <c r="CJ1" s="386">
        <f t="shared" ca="1" si="1"/>
        <v>0</v>
      </c>
      <c r="CK1" s="386">
        <f t="shared" ca="1" si="1"/>
        <v>0</v>
      </c>
      <c r="CL1" s="386">
        <f t="shared" ca="1" si="1"/>
        <v>0</v>
      </c>
      <c r="CM1" s="386">
        <f t="shared" ca="1" si="1"/>
        <v>0</v>
      </c>
      <c r="CN1" s="386">
        <f t="shared" ca="1" si="1"/>
        <v>0</v>
      </c>
      <c r="CO1" s="386">
        <f t="shared" ca="1" si="1"/>
        <v>0</v>
      </c>
      <c r="CP1" s="386">
        <f t="shared" ca="1" si="1"/>
        <v>0</v>
      </c>
      <c r="CQ1" s="386">
        <f t="shared" ca="1" si="1"/>
        <v>0</v>
      </c>
      <c r="CR1" s="386">
        <f t="shared" ca="1" si="1"/>
        <v>0</v>
      </c>
      <c r="CS1" s="386">
        <f t="shared" ca="1" si="1"/>
        <v>0</v>
      </c>
      <c r="CT1" s="386">
        <f t="shared" ca="1" si="1"/>
        <v>0</v>
      </c>
      <c r="CU1" s="386">
        <f t="shared" ca="1" si="1"/>
        <v>0</v>
      </c>
      <c r="CV1" s="386">
        <f t="shared" ca="1" si="1"/>
        <v>0</v>
      </c>
      <c r="CW1" s="386">
        <f t="shared" ca="1" si="1"/>
        <v>0</v>
      </c>
      <c r="CX1" s="386">
        <f t="shared" ca="1" si="1"/>
        <v>0</v>
      </c>
      <c r="CY1" s="386">
        <f t="shared" ca="1" si="1"/>
        <v>0</v>
      </c>
      <c r="CZ1" s="386">
        <f t="shared" ca="1" si="1"/>
        <v>0</v>
      </c>
      <c r="DA1" s="386">
        <f t="shared" ca="1" si="1"/>
        <v>0</v>
      </c>
      <c r="DB1" s="386">
        <f t="shared" ca="1" si="1"/>
        <v>0</v>
      </c>
      <c r="DC1" s="386">
        <f t="shared" ca="1" si="1"/>
        <v>0</v>
      </c>
      <c r="DD1" s="386">
        <f t="shared" ca="1" si="1"/>
        <v>0</v>
      </c>
      <c r="DE1" s="386">
        <f t="shared" ca="1" si="1"/>
        <v>0</v>
      </c>
      <c r="DF1" s="386">
        <f t="shared" ca="1" si="1"/>
        <v>0</v>
      </c>
      <c r="DG1" s="386">
        <f t="shared" ca="1" si="1"/>
        <v>0</v>
      </c>
      <c r="DH1" s="386">
        <f t="shared" ca="1" si="1"/>
        <v>0</v>
      </c>
      <c r="DI1" s="386">
        <f t="shared" ca="1" si="1"/>
        <v>0</v>
      </c>
      <c r="DJ1" s="386">
        <f t="shared" ca="1" si="1"/>
        <v>0</v>
      </c>
      <c r="DK1" s="386">
        <f t="shared" ca="1" si="1"/>
        <v>0</v>
      </c>
      <c r="DL1" s="386">
        <f t="shared" ca="1" si="1"/>
        <v>0</v>
      </c>
      <c r="DM1" s="386">
        <f t="shared" ca="1" si="1"/>
        <v>0</v>
      </c>
      <c r="DN1" s="386">
        <f t="shared" ca="1" si="1"/>
        <v>0</v>
      </c>
      <c r="DO1" s="386">
        <f t="shared" ca="1" si="1"/>
        <v>0</v>
      </c>
      <c r="DP1" s="386">
        <f t="shared" ca="1" si="1"/>
        <v>0</v>
      </c>
      <c r="DQ1" s="386">
        <f t="shared" ca="1" si="1"/>
        <v>0</v>
      </c>
      <c r="DR1" s="386">
        <f t="shared" ca="1" si="1"/>
        <v>0</v>
      </c>
      <c r="DS1" s="386">
        <f t="shared" ca="1" si="1"/>
        <v>0</v>
      </c>
      <c r="DT1" s="386">
        <f t="shared" ca="1" si="1"/>
        <v>0</v>
      </c>
      <c r="DU1" s="386">
        <f t="shared" ca="1" si="1"/>
        <v>0</v>
      </c>
      <c r="DV1" s="386">
        <f t="shared" ca="1" si="1"/>
        <v>0</v>
      </c>
      <c r="DW1" s="386">
        <f t="shared" ca="1" si="1"/>
        <v>0</v>
      </c>
      <c r="DX1" s="386">
        <f t="shared" ca="1" si="1"/>
        <v>0</v>
      </c>
      <c r="DY1" s="386">
        <f t="shared" ca="1" si="1"/>
        <v>0</v>
      </c>
      <c r="DZ1" s="386">
        <f t="shared" ref="DZ1:GH1" ca="1" si="2">INDIRECT(ADDRESS(MATCH($P$52,$A$1:$A$22,0),COLUMN(DZ$2)))</f>
        <v>0</v>
      </c>
      <c r="EA1" s="386">
        <f t="shared" ca="1" si="2"/>
        <v>0</v>
      </c>
      <c r="EB1" s="386">
        <f t="shared" ca="1" si="2"/>
        <v>0</v>
      </c>
      <c r="EC1" s="386">
        <f t="shared" ca="1" si="2"/>
        <v>0</v>
      </c>
      <c r="ED1" s="386">
        <f t="shared" ca="1" si="2"/>
        <v>0</v>
      </c>
      <c r="EE1" s="386">
        <f t="shared" ca="1" si="2"/>
        <v>0</v>
      </c>
      <c r="EF1" s="386">
        <f t="shared" ca="1" si="2"/>
        <v>0</v>
      </c>
      <c r="EG1" s="386">
        <f t="shared" ca="1" si="2"/>
        <v>0</v>
      </c>
      <c r="EH1" s="386">
        <f t="shared" ca="1" si="2"/>
        <v>0</v>
      </c>
      <c r="EI1" s="386">
        <f t="shared" ca="1" si="2"/>
        <v>0</v>
      </c>
      <c r="EJ1" s="386">
        <f t="shared" ca="1" si="2"/>
        <v>0</v>
      </c>
      <c r="EK1" s="386">
        <f t="shared" ca="1" si="2"/>
        <v>0</v>
      </c>
      <c r="EL1" s="386">
        <f t="shared" ca="1" si="2"/>
        <v>0</v>
      </c>
      <c r="EM1" s="386">
        <f t="shared" ca="1" si="2"/>
        <v>0</v>
      </c>
      <c r="EN1" s="386">
        <f t="shared" ca="1" si="2"/>
        <v>0</v>
      </c>
      <c r="EO1" s="386">
        <f t="shared" ca="1" si="2"/>
        <v>0</v>
      </c>
      <c r="EP1" s="386">
        <f t="shared" ca="1" si="2"/>
        <v>0</v>
      </c>
      <c r="EQ1" s="386">
        <f t="shared" ca="1" si="2"/>
        <v>0</v>
      </c>
      <c r="ER1" s="386">
        <f t="shared" ca="1" si="2"/>
        <v>0</v>
      </c>
      <c r="ES1" s="386">
        <f t="shared" ca="1" si="2"/>
        <v>0</v>
      </c>
      <c r="ET1" s="386">
        <f t="shared" ca="1" si="2"/>
        <v>0</v>
      </c>
      <c r="EU1" s="386">
        <f t="shared" ca="1" si="2"/>
        <v>0</v>
      </c>
      <c r="EV1" s="386">
        <f t="shared" ca="1" si="2"/>
        <v>0</v>
      </c>
      <c r="EW1" s="386">
        <f t="shared" ca="1" si="2"/>
        <v>0</v>
      </c>
      <c r="EX1" s="386">
        <f t="shared" ca="1" si="2"/>
        <v>0</v>
      </c>
      <c r="EY1" s="386">
        <f t="shared" ca="1" si="2"/>
        <v>0</v>
      </c>
      <c r="EZ1" s="386">
        <f t="shared" ca="1" si="2"/>
        <v>0</v>
      </c>
      <c r="FA1" s="386">
        <f t="shared" ca="1" si="2"/>
        <v>0</v>
      </c>
      <c r="FB1" s="386">
        <f t="shared" ca="1" si="2"/>
        <v>0</v>
      </c>
      <c r="FC1" s="386">
        <f t="shared" ca="1" si="2"/>
        <v>0</v>
      </c>
      <c r="FD1" s="386">
        <f t="shared" ca="1" si="2"/>
        <v>0</v>
      </c>
      <c r="FE1" s="386">
        <f t="shared" ca="1" si="2"/>
        <v>0</v>
      </c>
      <c r="FF1" s="386">
        <f t="shared" ca="1" si="2"/>
        <v>0</v>
      </c>
      <c r="FG1" s="386">
        <f t="shared" ca="1" si="2"/>
        <v>0</v>
      </c>
      <c r="FH1" s="386">
        <f t="shared" ca="1" si="2"/>
        <v>0</v>
      </c>
      <c r="FI1" s="386">
        <f t="shared" ca="1" si="2"/>
        <v>0</v>
      </c>
      <c r="FJ1" s="386">
        <f t="shared" ca="1" si="2"/>
        <v>0</v>
      </c>
      <c r="FK1" s="386">
        <f t="shared" ca="1" si="2"/>
        <v>0</v>
      </c>
      <c r="FL1" s="386">
        <f t="shared" ca="1" si="2"/>
        <v>0</v>
      </c>
      <c r="FM1" s="386">
        <f t="shared" ca="1" si="2"/>
        <v>0</v>
      </c>
      <c r="FN1" s="386">
        <f t="shared" ca="1" si="2"/>
        <v>0</v>
      </c>
      <c r="FO1" s="386">
        <f t="shared" ca="1" si="2"/>
        <v>0</v>
      </c>
      <c r="FP1" s="386">
        <f t="shared" ca="1" si="2"/>
        <v>0</v>
      </c>
      <c r="FQ1" s="386">
        <f t="shared" ca="1" si="2"/>
        <v>0</v>
      </c>
      <c r="FR1" s="386">
        <f t="shared" ca="1" si="2"/>
        <v>0</v>
      </c>
      <c r="FS1" s="386">
        <f t="shared" ca="1" si="2"/>
        <v>0</v>
      </c>
      <c r="FT1" s="386">
        <f t="shared" ca="1" si="2"/>
        <v>0</v>
      </c>
      <c r="FU1" s="386">
        <f t="shared" ca="1" si="2"/>
        <v>0</v>
      </c>
      <c r="FV1" s="386">
        <f t="shared" ca="1" si="2"/>
        <v>0</v>
      </c>
      <c r="FW1" s="386">
        <f t="shared" ca="1" si="2"/>
        <v>0</v>
      </c>
      <c r="FX1" s="386">
        <f t="shared" ca="1" si="2"/>
        <v>0</v>
      </c>
      <c r="FY1" s="386">
        <f t="shared" ca="1" si="2"/>
        <v>0</v>
      </c>
      <c r="FZ1" s="386">
        <f t="shared" ca="1" si="2"/>
        <v>0</v>
      </c>
      <c r="GA1" s="386">
        <f t="shared" ca="1" si="2"/>
        <v>0</v>
      </c>
      <c r="GB1" s="386">
        <f t="shared" ca="1" si="2"/>
        <v>0</v>
      </c>
      <c r="GC1" s="386">
        <f t="shared" ca="1" si="2"/>
        <v>0</v>
      </c>
      <c r="GD1" s="386">
        <f t="shared" ca="1" si="2"/>
        <v>0</v>
      </c>
      <c r="GE1" s="386">
        <f t="shared" ca="1" si="2"/>
        <v>0</v>
      </c>
      <c r="GF1" s="386">
        <f t="shared" ca="1" si="2"/>
        <v>0</v>
      </c>
      <c r="GG1" s="386">
        <f t="shared" ca="1" si="2"/>
        <v>0</v>
      </c>
      <c r="GH1" s="386">
        <f t="shared" ca="1" si="2"/>
        <v>0</v>
      </c>
    </row>
    <row r="2" spans="1:190" ht="15.75" customHeight="1" x14ac:dyDescent="0.3"/>
    <row r="3" spans="1:190" ht="15.75" customHeight="1" x14ac:dyDescent="0.3"/>
    <row r="4" spans="1:190" ht="15.75" customHeight="1" x14ac:dyDescent="0.3"/>
    <row r="5" spans="1:190" s="107" customFormat="1" ht="15.75" customHeight="1" x14ac:dyDescent="0.3"/>
    <row r="6" spans="1:190" s="107" customFormat="1" ht="15.75" customHeight="1" thickBot="1" x14ac:dyDescent="0.35">
      <c r="A6" s="387" t="s">
        <v>178</v>
      </c>
    </row>
    <row r="7" spans="1:190" s="107" customFormat="1" x14ac:dyDescent="0.3">
      <c r="A7" s="388" t="s">
        <v>82</v>
      </c>
      <c r="B7" s="389">
        <v>2001</v>
      </c>
      <c r="C7" s="389">
        <v>2002</v>
      </c>
      <c r="D7" s="389">
        <v>2003</v>
      </c>
      <c r="E7" s="389">
        <v>2004</v>
      </c>
      <c r="F7" s="389">
        <v>2005</v>
      </c>
      <c r="G7" s="389">
        <v>2006</v>
      </c>
      <c r="H7" s="389">
        <v>2007</v>
      </c>
      <c r="I7" s="389">
        <v>2008</v>
      </c>
      <c r="J7" s="389">
        <v>2009</v>
      </c>
      <c r="K7" s="389">
        <v>2010</v>
      </c>
      <c r="L7" s="389">
        <v>2011</v>
      </c>
      <c r="M7" s="389">
        <v>2012</v>
      </c>
      <c r="N7" s="389">
        <v>2013</v>
      </c>
      <c r="O7" s="389">
        <v>2014</v>
      </c>
      <c r="P7" s="389">
        <v>2015</v>
      </c>
      <c r="Q7" s="389">
        <v>2016</v>
      </c>
      <c r="R7" s="389">
        <v>2017</v>
      </c>
      <c r="S7" s="389">
        <v>2018</v>
      </c>
      <c r="T7" s="389">
        <v>2019</v>
      </c>
      <c r="U7" s="389">
        <v>2020</v>
      </c>
      <c r="V7" s="389">
        <v>2021</v>
      </c>
      <c r="W7" s="389">
        <v>2022</v>
      </c>
      <c r="X7" s="390">
        <v>2023</v>
      </c>
    </row>
    <row r="8" spans="1:190" s="107" customFormat="1" x14ac:dyDescent="0.3">
      <c r="A8" s="391" t="s">
        <v>85</v>
      </c>
      <c r="B8" s="392">
        <v>6001.6080000000002</v>
      </c>
      <c r="C8" s="392">
        <v>6259.3464999999997</v>
      </c>
      <c r="D8" s="392">
        <v>6326.8</v>
      </c>
      <c r="E8" s="392">
        <v>6904.85</v>
      </c>
      <c r="F8" s="392">
        <v>8735.3819999999996</v>
      </c>
      <c r="G8" s="392">
        <v>8690.4874999999993</v>
      </c>
      <c r="H8" s="392">
        <v>8013.0794999999998</v>
      </c>
      <c r="I8" s="392">
        <v>7866.9804999999997</v>
      </c>
      <c r="J8" s="392">
        <v>8142.2584999999999</v>
      </c>
      <c r="K8" s="392">
        <v>9754.5560000000005</v>
      </c>
      <c r="L8" s="392">
        <v>11660.439</v>
      </c>
      <c r="M8" s="392">
        <v>8213.1075000000001</v>
      </c>
      <c r="N8" s="392">
        <v>7211.6695</v>
      </c>
      <c r="O8" s="392">
        <v>7107.665</v>
      </c>
      <c r="P8" s="392">
        <v>7037.8919999999998</v>
      </c>
      <c r="Q8" s="392">
        <v>6152.4849999999997</v>
      </c>
      <c r="R8" s="392">
        <v>6268.6319999999996</v>
      </c>
      <c r="S8" s="392">
        <v>6624.1795000000002</v>
      </c>
      <c r="T8" s="392">
        <v>7057.1080000000002</v>
      </c>
      <c r="U8" s="392">
        <v>6746.4605000000001</v>
      </c>
      <c r="V8" s="392">
        <v>6850.8069999999998</v>
      </c>
      <c r="W8" s="392">
        <v>6843.9084999999995</v>
      </c>
      <c r="X8" s="393">
        <v>7235.4485000000004</v>
      </c>
      <c r="Y8" s="395"/>
    </row>
    <row r="9" spans="1:190" s="107" customFormat="1" x14ac:dyDescent="0.3">
      <c r="A9" s="394" t="s">
        <v>179</v>
      </c>
      <c r="B9" s="395">
        <v>593.54250000000002</v>
      </c>
      <c r="C9" s="395">
        <v>562.827</v>
      </c>
      <c r="D9" s="395">
        <v>544.00049999999999</v>
      </c>
      <c r="E9" s="395">
        <v>544.40250000000003</v>
      </c>
      <c r="F9" s="395">
        <v>580.24400000000003</v>
      </c>
      <c r="G9" s="395">
        <v>656.61400000000003</v>
      </c>
      <c r="H9" s="395">
        <v>613.41800000000001</v>
      </c>
      <c r="I9" s="395">
        <v>688.03899999999999</v>
      </c>
      <c r="J9" s="395">
        <v>724.87950000000001</v>
      </c>
      <c r="K9" s="395">
        <v>710.99300000000005</v>
      </c>
      <c r="L9" s="395">
        <v>668.47149999999999</v>
      </c>
      <c r="M9" s="395">
        <v>737.69500000000005</v>
      </c>
      <c r="N9" s="395">
        <v>703.46900000000005</v>
      </c>
      <c r="O9" s="395">
        <v>770.2835</v>
      </c>
      <c r="P9" s="395">
        <v>846.51149999999996</v>
      </c>
      <c r="Q9" s="395">
        <v>800.13099999999997</v>
      </c>
      <c r="R9" s="395">
        <v>750.92499999999995</v>
      </c>
      <c r="S9" s="395">
        <v>739.71100000000001</v>
      </c>
      <c r="T9" s="395">
        <v>707.11649999999997</v>
      </c>
      <c r="U9" s="395">
        <v>664.726</v>
      </c>
      <c r="V9" s="395">
        <v>629.00450000000001</v>
      </c>
      <c r="W9" s="395">
        <v>765.20849999999996</v>
      </c>
      <c r="X9" s="396">
        <v>848.1635</v>
      </c>
    </row>
    <row r="10" spans="1:190" s="107" customFormat="1" x14ac:dyDescent="0.3">
      <c r="A10" s="394" t="s">
        <v>180</v>
      </c>
      <c r="B10" s="392">
        <v>676.24300000000005</v>
      </c>
      <c r="C10" s="392">
        <v>397.38900000000001</v>
      </c>
      <c r="D10" s="392">
        <v>292.04349999999999</v>
      </c>
      <c r="E10" s="392">
        <v>314.97050000000002</v>
      </c>
      <c r="F10" s="392">
        <v>367.57650000000001</v>
      </c>
      <c r="G10" s="392">
        <v>468.755</v>
      </c>
      <c r="H10" s="392">
        <v>576.64400000000001</v>
      </c>
      <c r="I10" s="392">
        <v>630.62350000000004</v>
      </c>
      <c r="J10" s="392">
        <v>580.29250000000002</v>
      </c>
      <c r="K10" s="392">
        <v>639.447</v>
      </c>
      <c r="L10" s="392">
        <v>740.40700000000004</v>
      </c>
      <c r="M10" s="392">
        <v>881.13850000000002</v>
      </c>
      <c r="N10" s="392">
        <v>908.50699999999995</v>
      </c>
      <c r="O10" s="392">
        <v>934.50599999999997</v>
      </c>
      <c r="P10" s="392">
        <v>739.67600000000004</v>
      </c>
      <c r="Q10" s="392">
        <v>733.17449999999997</v>
      </c>
      <c r="R10" s="392">
        <v>776.36450000000002</v>
      </c>
      <c r="S10" s="392">
        <v>774.46500000000003</v>
      </c>
      <c r="T10" s="392">
        <v>738.0385</v>
      </c>
      <c r="U10" s="392">
        <v>658.15350000000001</v>
      </c>
      <c r="V10" s="392">
        <v>762.8075</v>
      </c>
      <c r="W10" s="392">
        <v>738.77750000000003</v>
      </c>
      <c r="X10" s="393">
        <v>962.24649999999997</v>
      </c>
    </row>
    <row r="11" spans="1:190" s="107" customFormat="1" x14ac:dyDescent="0.3">
      <c r="A11" s="394" t="s">
        <v>86</v>
      </c>
      <c r="B11" s="395">
        <v>1328.421</v>
      </c>
      <c r="C11" s="395">
        <v>1313.857</v>
      </c>
      <c r="D11" s="395">
        <v>1376.2065</v>
      </c>
      <c r="E11" s="395">
        <v>1160.5025000000001</v>
      </c>
      <c r="F11" s="395">
        <v>1629.9010000000001</v>
      </c>
      <c r="G11" s="395">
        <v>2093.6080000000002</v>
      </c>
      <c r="H11" s="395">
        <v>2463.902</v>
      </c>
      <c r="I11" s="395">
        <v>2455.6345000000001</v>
      </c>
      <c r="J11" s="395">
        <v>1476.0650000000001</v>
      </c>
      <c r="K11" s="395">
        <v>1899.7145</v>
      </c>
      <c r="L11" s="395">
        <v>2301.3575000000001</v>
      </c>
      <c r="M11" s="395">
        <v>2731.2689999999998</v>
      </c>
      <c r="N11" s="395">
        <v>2467.0889999999999</v>
      </c>
      <c r="O11" s="395">
        <v>2289.9454999999998</v>
      </c>
      <c r="P11" s="395">
        <v>2093.761</v>
      </c>
      <c r="Q11" s="395">
        <v>1867.1849999999999</v>
      </c>
      <c r="R11" s="395">
        <v>2039.9565</v>
      </c>
      <c r="S11" s="395">
        <v>2167.25</v>
      </c>
      <c r="T11" s="395">
        <v>2284.692</v>
      </c>
      <c r="U11" s="395">
        <v>1896.9745</v>
      </c>
      <c r="V11" s="395">
        <v>1984.0150000000001</v>
      </c>
      <c r="W11" s="395">
        <v>2120.1605</v>
      </c>
      <c r="X11" s="396">
        <v>1656.2159999999999</v>
      </c>
    </row>
    <row r="12" spans="1:190" s="107" customFormat="1" x14ac:dyDescent="0.3">
      <c r="A12" s="394" t="s">
        <v>181</v>
      </c>
      <c r="B12" s="392">
        <v>1061.5864999999999</v>
      </c>
      <c r="C12" s="392">
        <v>1227.72</v>
      </c>
      <c r="D12" s="392">
        <v>1183.4314999999999</v>
      </c>
      <c r="E12" s="392">
        <v>1461.9894999999999</v>
      </c>
      <c r="F12" s="392">
        <v>1812.7235000000001</v>
      </c>
      <c r="G12" s="392">
        <v>1941.0775000000001</v>
      </c>
      <c r="H12" s="392">
        <v>2350.0770000000002</v>
      </c>
      <c r="I12" s="392">
        <v>2750.1489999999999</v>
      </c>
      <c r="J12" s="392">
        <v>1567.1355000000001</v>
      </c>
      <c r="K12" s="392">
        <v>1465.954</v>
      </c>
      <c r="L12" s="392">
        <v>1975.4555</v>
      </c>
      <c r="M12" s="392">
        <v>2740.7604999999999</v>
      </c>
      <c r="N12" s="392">
        <v>1938.3489999999999</v>
      </c>
      <c r="O12" s="392">
        <v>1418.5695000000001</v>
      </c>
      <c r="P12" s="392">
        <v>1063.1895</v>
      </c>
      <c r="Q12" s="392">
        <v>767.55799999999999</v>
      </c>
      <c r="R12" s="392">
        <v>777.69650000000001</v>
      </c>
      <c r="S12" s="392">
        <v>823.68550000000005</v>
      </c>
      <c r="T12" s="392">
        <v>754.96</v>
      </c>
      <c r="U12" s="392">
        <v>483.18200000000002</v>
      </c>
      <c r="V12" s="392">
        <v>206.66149999999999</v>
      </c>
      <c r="W12" s="392">
        <v>293.00099999999998</v>
      </c>
      <c r="X12" s="393">
        <v>377.71699999999998</v>
      </c>
    </row>
    <row r="13" spans="1:190" s="107" customFormat="1" x14ac:dyDescent="0.3">
      <c r="A13" s="394" t="s">
        <v>87</v>
      </c>
      <c r="B13" s="395">
        <v>13567.78</v>
      </c>
      <c r="C13" s="395">
        <v>13132.1425</v>
      </c>
      <c r="D13" s="395">
        <v>13248.6005</v>
      </c>
      <c r="E13" s="395">
        <v>13703.829</v>
      </c>
      <c r="F13" s="395">
        <v>12291.0015</v>
      </c>
      <c r="G13" s="395">
        <v>12756.443499999999</v>
      </c>
      <c r="H13" s="395">
        <v>14178.1435</v>
      </c>
      <c r="I13" s="395">
        <v>15555.468500000001</v>
      </c>
      <c r="J13" s="395">
        <v>16786.250499999998</v>
      </c>
      <c r="K13" s="395">
        <v>16922.73</v>
      </c>
      <c r="L13" s="395">
        <v>19194.425999999999</v>
      </c>
      <c r="M13" s="395">
        <v>21714.169000000002</v>
      </c>
      <c r="N13" s="395">
        <v>20019.310000000001</v>
      </c>
      <c r="O13" s="395">
        <v>16741.561000000002</v>
      </c>
      <c r="P13" s="395">
        <v>17939.461500000001</v>
      </c>
      <c r="Q13" s="395">
        <v>20778.964</v>
      </c>
      <c r="R13" s="395">
        <v>22766.622500000001</v>
      </c>
      <c r="S13" s="395">
        <v>24868.534500000002</v>
      </c>
      <c r="T13" s="395">
        <v>26019.452499999999</v>
      </c>
      <c r="U13" s="395">
        <v>26852.01</v>
      </c>
      <c r="V13" s="395">
        <v>30049.102500000001</v>
      </c>
      <c r="W13" s="395">
        <v>30789.253000000001</v>
      </c>
      <c r="X13" s="396">
        <v>30305.549500000001</v>
      </c>
      <c r="Y13" s="395"/>
    </row>
    <row r="14" spans="1:190" s="107" customFormat="1" x14ac:dyDescent="0.3">
      <c r="A14" s="394" t="s">
        <v>88</v>
      </c>
      <c r="B14" s="392">
        <v>8762.7939999999999</v>
      </c>
      <c r="C14" s="392">
        <v>8445.8960000000006</v>
      </c>
      <c r="D14" s="392">
        <v>10511.7685</v>
      </c>
      <c r="E14" s="392">
        <v>12507.32</v>
      </c>
      <c r="F14" s="392">
        <v>13059.014999999999</v>
      </c>
      <c r="G14" s="392">
        <v>16999.471000000001</v>
      </c>
      <c r="H14" s="392">
        <v>18603.615000000002</v>
      </c>
      <c r="I14" s="392">
        <v>22972.7965</v>
      </c>
      <c r="J14" s="392">
        <v>25926.4925</v>
      </c>
      <c r="K14" s="392">
        <v>27630.949000000001</v>
      </c>
      <c r="L14" s="392">
        <v>33915.646500000003</v>
      </c>
      <c r="M14" s="392">
        <v>47051.289499999999</v>
      </c>
      <c r="N14" s="392">
        <v>56065.123500000002</v>
      </c>
      <c r="O14" s="392">
        <v>55251.95</v>
      </c>
      <c r="P14" s="392">
        <v>49042.326500000003</v>
      </c>
      <c r="Q14" s="392">
        <v>42773.591500000002</v>
      </c>
      <c r="R14" s="392">
        <v>41828.220500000003</v>
      </c>
      <c r="S14" s="392">
        <v>43354.402499999997</v>
      </c>
      <c r="T14" s="392">
        <v>48108.036999999997</v>
      </c>
      <c r="U14" s="392">
        <v>57008.485000000001</v>
      </c>
      <c r="V14" s="392">
        <v>60960.591500000002</v>
      </c>
      <c r="W14" s="392">
        <v>60272.6855</v>
      </c>
      <c r="X14" s="393">
        <v>60814.847000000002</v>
      </c>
      <c r="Y14" s="395"/>
    </row>
    <row r="15" spans="1:190" s="107" customFormat="1" x14ac:dyDescent="0.3">
      <c r="A15" s="394" t="s">
        <v>89</v>
      </c>
      <c r="B15" s="395">
        <v>733.43050000000005</v>
      </c>
      <c r="C15" s="395">
        <v>709.30399999999997</v>
      </c>
      <c r="D15" s="395">
        <v>603.47799999999995</v>
      </c>
      <c r="E15" s="395">
        <v>643.52650000000006</v>
      </c>
      <c r="F15" s="395">
        <v>760.4905</v>
      </c>
      <c r="G15" s="395">
        <v>577.49749999999995</v>
      </c>
      <c r="H15" s="395">
        <v>488.18549999999999</v>
      </c>
      <c r="I15" s="395">
        <v>560.69500000000005</v>
      </c>
      <c r="J15" s="395">
        <v>276.24950000000001</v>
      </c>
      <c r="K15" s="395">
        <v>508.40300000000002</v>
      </c>
      <c r="L15" s="395">
        <v>672.18499999999995</v>
      </c>
      <c r="M15" s="395">
        <v>681.37300000000005</v>
      </c>
      <c r="N15" s="395">
        <v>439.721</v>
      </c>
      <c r="O15" s="395">
        <v>413.87599999999998</v>
      </c>
      <c r="P15" s="395">
        <v>382.053</v>
      </c>
      <c r="Q15" s="395">
        <v>679.44200000000001</v>
      </c>
      <c r="R15" s="395">
        <v>1833.6395</v>
      </c>
      <c r="S15" s="395">
        <v>4500.4170000000004</v>
      </c>
      <c r="T15" s="395">
        <v>4149.8504999999996</v>
      </c>
      <c r="U15" s="395">
        <v>1813.6759999999999</v>
      </c>
      <c r="V15" s="395">
        <v>2513.5844999999999</v>
      </c>
      <c r="W15" s="395">
        <v>5779.9139999999998</v>
      </c>
      <c r="X15" s="396">
        <v>10102.3025</v>
      </c>
      <c r="Y15" s="395"/>
    </row>
    <row r="16" spans="1:190" s="107" customFormat="1" x14ac:dyDescent="0.3">
      <c r="A16" s="394" t="s">
        <v>90</v>
      </c>
      <c r="B16" s="392">
        <v>2347.1619999999998</v>
      </c>
      <c r="C16" s="392">
        <v>2186.6289999999999</v>
      </c>
      <c r="D16" s="392">
        <v>2134.9769999999999</v>
      </c>
      <c r="E16" s="392">
        <v>2313.0495000000001</v>
      </c>
      <c r="F16" s="392">
        <v>2238.3150000000001</v>
      </c>
      <c r="G16" s="392">
        <v>2476.7449999999999</v>
      </c>
      <c r="H16" s="392">
        <v>2412.0349999999999</v>
      </c>
      <c r="I16" s="392">
        <v>2291.9185000000002</v>
      </c>
      <c r="J16" s="392">
        <v>1908.114</v>
      </c>
      <c r="K16" s="392">
        <v>1447.3054999999999</v>
      </c>
      <c r="L16" s="392">
        <v>1588.8040000000001</v>
      </c>
      <c r="M16" s="392">
        <v>1879.046</v>
      </c>
      <c r="N16" s="392">
        <v>1465.8544999999999</v>
      </c>
      <c r="O16" s="392">
        <v>1354.876</v>
      </c>
      <c r="P16" s="392">
        <v>1467.7035000000001</v>
      </c>
      <c r="Q16" s="392">
        <v>1328.3475000000001</v>
      </c>
      <c r="R16" s="392">
        <v>1341.163</v>
      </c>
      <c r="S16" s="392">
        <v>1848.4870000000001</v>
      </c>
      <c r="T16" s="392">
        <v>1991.2145</v>
      </c>
      <c r="U16" s="392">
        <v>1925.076</v>
      </c>
      <c r="V16" s="392">
        <v>2025.8195000000001</v>
      </c>
      <c r="W16" s="392">
        <v>2877.2730000000001</v>
      </c>
      <c r="X16" s="393">
        <v>2932.7914999999998</v>
      </c>
      <c r="Y16" s="395"/>
    </row>
    <row r="17" spans="1:25" s="107" customFormat="1" x14ac:dyDescent="0.3">
      <c r="A17" s="394" t="s">
        <v>91</v>
      </c>
      <c r="B17" s="395">
        <v>5914.9634999999998</v>
      </c>
      <c r="C17" s="395">
        <v>5612.6265000000003</v>
      </c>
      <c r="D17" s="395">
        <v>6004.9324999999999</v>
      </c>
      <c r="E17" s="395">
        <v>6957.5870000000004</v>
      </c>
      <c r="F17" s="395">
        <v>8558.5499999999993</v>
      </c>
      <c r="G17" s="395">
        <v>10703.3305</v>
      </c>
      <c r="H17" s="395">
        <v>12905.736999999999</v>
      </c>
      <c r="I17" s="395">
        <v>12554.744500000001</v>
      </c>
      <c r="J17" s="395">
        <v>7413.6255000000001</v>
      </c>
      <c r="K17" s="395">
        <v>7935.1279999999997</v>
      </c>
      <c r="L17" s="395">
        <v>9302.5460000000003</v>
      </c>
      <c r="M17" s="395">
        <v>8229.4349999999995</v>
      </c>
      <c r="N17" s="395">
        <v>6833.3315000000002</v>
      </c>
      <c r="O17" s="395">
        <v>5823.5865000000003</v>
      </c>
      <c r="P17" s="395">
        <v>5926.0749999999998</v>
      </c>
      <c r="Q17" s="395">
        <v>5360.2545</v>
      </c>
      <c r="R17" s="395">
        <v>5805.63</v>
      </c>
      <c r="S17" s="395">
        <v>5705.9520000000002</v>
      </c>
      <c r="T17" s="395">
        <v>7081.8885</v>
      </c>
      <c r="U17" s="395">
        <v>7288.4814999999999</v>
      </c>
      <c r="V17" s="395">
        <v>8069.1584999999995</v>
      </c>
      <c r="W17" s="395">
        <v>8758.1569999999992</v>
      </c>
      <c r="X17" s="396">
        <v>10891.031499999999</v>
      </c>
      <c r="Y17" s="395"/>
    </row>
    <row r="18" spans="1:25" s="107" customFormat="1" x14ac:dyDescent="0.3">
      <c r="A18" s="394" t="s">
        <v>182</v>
      </c>
      <c r="B18" s="392">
        <v>609.15350000000001</v>
      </c>
      <c r="C18" s="392">
        <v>564.35450000000003</v>
      </c>
      <c r="D18" s="392">
        <v>564.48649999999998</v>
      </c>
      <c r="E18" s="392">
        <v>570.55499999999995</v>
      </c>
      <c r="F18" s="392">
        <v>672.14449999999999</v>
      </c>
      <c r="G18" s="392">
        <v>670.50250000000005</v>
      </c>
      <c r="H18" s="392">
        <v>702.43799999999999</v>
      </c>
      <c r="I18" s="392">
        <v>718.73950000000002</v>
      </c>
      <c r="J18" s="392">
        <v>777.48050000000001</v>
      </c>
      <c r="K18" s="392">
        <v>785.77650000000006</v>
      </c>
      <c r="L18" s="392">
        <v>814.94349999999997</v>
      </c>
      <c r="M18" s="392">
        <v>865.82550000000003</v>
      </c>
      <c r="N18" s="392">
        <v>968.32399999999996</v>
      </c>
      <c r="O18" s="392">
        <v>762.44550000000004</v>
      </c>
      <c r="P18" s="392">
        <v>605.27750000000003</v>
      </c>
      <c r="Q18" s="392">
        <v>527.42849999999999</v>
      </c>
      <c r="R18" s="392">
        <v>516.13049999999998</v>
      </c>
      <c r="S18" s="392">
        <v>606.60900000000004</v>
      </c>
      <c r="T18" s="392">
        <v>642.10299999999995</v>
      </c>
      <c r="U18" s="392">
        <v>599.447</v>
      </c>
      <c r="V18" s="392">
        <v>687.3895</v>
      </c>
      <c r="W18" s="392">
        <v>984.67949999999996</v>
      </c>
      <c r="X18" s="393">
        <v>1002.2225</v>
      </c>
    </row>
    <row r="19" spans="1:25" s="107" customFormat="1" x14ac:dyDescent="0.3">
      <c r="A19" s="394" t="s">
        <v>93</v>
      </c>
      <c r="B19" s="395">
        <v>1394.5735</v>
      </c>
      <c r="C19" s="395">
        <v>1352.8505</v>
      </c>
      <c r="D19" s="395">
        <v>1287.5374999999999</v>
      </c>
      <c r="E19" s="395">
        <v>1509.0015000000001</v>
      </c>
      <c r="F19" s="395">
        <v>1743.6324999999999</v>
      </c>
      <c r="G19" s="395">
        <v>1639.1305</v>
      </c>
      <c r="H19" s="395">
        <v>1710.4545000000001</v>
      </c>
      <c r="I19" s="395">
        <v>1991</v>
      </c>
      <c r="J19" s="395">
        <v>2019.1595</v>
      </c>
      <c r="K19" s="395">
        <v>2381.6039999999998</v>
      </c>
      <c r="L19" s="395">
        <v>3157.16</v>
      </c>
      <c r="M19" s="395">
        <v>2870.453</v>
      </c>
      <c r="N19" s="395">
        <v>2657.04</v>
      </c>
      <c r="O19" s="395">
        <v>2374.2075</v>
      </c>
      <c r="P19" s="395">
        <v>2063.5819999999999</v>
      </c>
      <c r="Q19" s="395">
        <v>1731.0715</v>
      </c>
      <c r="R19" s="395">
        <v>1974.1005</v>
      </c>
      <c r="S19" s="395">
        <v>2206.6774999999998</v>
      </c>
      <c r="T19" s="395">
        <v>2258.0500000000002</v>
      </c>
      <c r="U19" s="395">
        <v>2459.7184999999999</v>
      </c>
      <c r="V19" s="395">
        <v>2921.0304999999998</v>
      </c>
      <c r="W19" s="395">
        <v>2556.0425</v>
      </c>
      <c r="X19" s="396">
        <v>3623.9175</v>
      </c>
      <c r="Y19" s="395"/>
    </row>
    <row r="20" spans="1:25" s="107" customFormat="1" x14ac:dyDescent="0.3">
      <c r="A20" s="397" t="s">
        <v>183</v>
      </c>
      <c r="B20" s="398">
        <v>42991.258000000002</v>
      </c>
      <c r="C20" s="398">
        <v>41764.942499999997</v>
      </c>
      <c r="D20" s="398">
        <v>44078.262499999997</v>
      </c>
      <c r="E20" s="398">
        <v>48591.583500000001</v>
      </c>
      <c r="F20" s="398">
        <v>52448.976000000002</v>
      </c>
      <c r="G20" s="398">
        <v>59673.662499999999</v>
      </c>
      <c r="H20" s="398">
        <v>65017.728999999999</v>
      </c>
      <c r="I20" s="398">
        <v>71036.789000000004</v>
      </c>
      <c r="J20" s="398">
        <v>67598.002999999997</v>
      </c>
      <c r="K20" s="398">
        <v>72082.560500000007</v>
      </c>
      <c r="L20" s="398">
        <v>85991.841499999995</v>
      </c>
      <c r="M20" s="398">
        <v>98595.561499999996</v>
      </c>
      <c r="N20" s="398">
        <v>101677.788</v>
      </c>
      <c r="O20" s="398">
        <v>95243.471999999994</v>
      </c>
      <c r="P20" s="398">
        <v>89207.509000000005</v>
      </c>
      <c r="Q20" s="398">
        <v>83499.633000000002</v>
      </c>
      <c r="R20" s="398">
        <v>86679.081000000006</v>
      </c>
      <c r="S20" s="398">
        <v>94220.370500000005</v>
      </c>
      <c r="T20" s="398">
        <v>101792.511</v>
      </c>
      <c r="U20" s="398">
        <v>108396.39049999999</v>
      </c>
      <c r="V20" s="398">
        <v>117659.97199999999</v>
      </c>
      <c r="W20" s="398">
        <v>122779.06050000001</v>
      </c>
      <c r="X20" s="399">
        <v>130752.4535</v>
      </c>
      <c r="Y20" s="395"/>
    </row>
    <row r="21" spans="1:25" s="107" customFormat="1" x14ac:dyDescent="0.3">
      <c r="A21" s="400" t="s">
        <v>184</v>
      </c>
      <c r="B21" s="401">
        <v>604.28899999999999</v>
      </c>
      <c r="C21" s="402">
        <v>464.2165</v>
      </c>
      <c r="D21" s="402">
        <v>486.31700000000001</v>
      </c>
      <c r="E21" s="402">
        <v>681.59900000000005</v>
      </c>
      <c r="F21" s="402">
        <v>817</v>
      </c>
      <c r="G21" s="402">
        <v>988.06150000000002</v>
      </c>
      <c r="H21" s="402">
        <v>1546.8489999999999</v>
      </c>
      <c r="I21" s="402">
        <v>2556.9299999999998</v>
      </c>
      <c r="J21" s="402">
        <v>2339.665</v>
      </c>
      <c r="K21" s="402">
        <v>3256.2</v>
      </c>
      <c r="L21" s="402">
        <v>3661.3114999999998</v>
      </c>
      <c r="M21" s="402">
        <v>3549.2330000000002</v>
      </c>
      <c r="N21" s="402">
        <v>2402.9135000000001</v>
      </c>
      <c r="O21" s="402">
        <v>2250.5115000000001</v>
      </c>
      <c r="P21" s="402">
        <v>1900.0235</v>
      </c>
      <c r="Q21" s="402">
        <v>1935.867</v>
      </c>
      <c r="R21" s="402">
        <v>2198.25</v>
      </c>
      <c r="S21" s="402">
        <v>2677.4380000000001</v>
      </c>
      <c r="T21" s="402">
        <v>3262.2849999999999</v>
      </c>
      <c r="U21" s="402">
        <v>3608.9654999999998</v>
      </c>
      <c r="V21" s="402">
        <v>4590.9125000000004</v>
      </c>
      <c r="W21" s="402">
        <v>4554.9319999999998</v>
      </c>
      <c r="X21" s="403">
        <v>3964.2465000000002</v>
      </c>
      <c r="Y21" s="395"/>
    </row>
    <row r="22" spans="1:25" s="107" customFormat="1" ht="15" thickBot="1" x14ac:dyDescent="0.35">
      <c r="A22" s="404" t="s">
        <v>185</v>
      </c>
      <c r="B22" s="405">
        <v>43595.546999999999</v>
      </c>
      <c r="C22" s="405">
        <v>42229.159</v>
      </c>
      <c r="D22" s="405">
        <v>44564.5795</v>
      </c>
      <c r="E22" s="405">
        <v>49273.182500000003</v>
      </c>
      <c r="F22" s="405">
        <v>53265.976000000002</v>
      </c>
      <c r="G22" s="405">
        <v>60661.724000000002</v>
      </c>
      <c r="H22" s="405">
        <v>66564.577999999994</v>
      </c>
      <c r="I22" s="405">
        <v>73593.718999999997</v>
      </c>
      <c r="J22" s="405">
        <v>69937.668000000005</v>
      </c>
      <c r="K22" s="405">
        <v>75338.760500000004</v>
      </c>
      <c r="L22" s="405">
        <v>89653.153000000006</v>
      </c>
      <c r="M22" s="405">
        <v>102144.7945</v>
      </c>
      <c r="N22" s="405">
        <v>104080.7015</v>
      </c>
      <c r="O22" s="405">
        <v>97493.983500000002</v>
      </c>
      <c r="P22" s="405">
        <v>91107.532500000001</v>
      </c>
      <c r="Q22" s="405">
        <v>85435.5</v>
      </c>
      <c r="R22" s="405">
        <v>88877.331000000006</v>
      </c>
      <c r="S22" s="405">
        <v>96897.808499999999</v>
      </c>
      <c r="T22" s="405">
        <v>105054.796</v>
      </c>
      <c r="U22" s="405">
        <v>112005.356</v>
      </c>
      <c r="V22" s="405">
        <v>122250.8845</v>
      </c>
      <c r="W22" s="405">
        <v>127333.99249999999</v>
      </c>
      <c r="X22" s="406">
        <v>134716.70000000001</v>
      </c>
      <c r="Y22" s="395"/>
    </row>
    <row r="23" spans="1:25" x14ac:dyDescent="0.3">
      <c r="A23" s="407"/>
      <c r="B23" s="402"/>
      <c r="C23" s="402"/>
      <c r="D23" s="402"/>
      <c r="E23" s="402"/>
      <c r="F23" s="402"/>
      <c r="G23" s="402"/>
      <c r="H23" s="402"/>
      <c r="I23" s="402"/>
      <c r="J23" s="402"/>
      <c r="K23" s="401"/>
      <c r="L23" s="401"/>
      <c r="M23" s="401"/>
      <c r="N23" s="401"/>
      <c r="O23" s="401"/>
      <c r="P23" s="401"/>
      <c r="Q23" s="408"/>
      <c r="R23" s="408"/>
      <c r="S23" s="408"/>
      <c r="T23" s="408"/>
    </row>
    <row r="24" spans="1:25" x14ac:dyDescent="0.3">
      <c r="A24" s="409" t="s">
        <v>186</v>
      </c>
      <c r="B24" s="402"/>
      <c r="C24" s="402"/>
      <c r="D24" s="402"/>
      <c r="E24" s="402"/>
      <c r="F24" s="402"/>
      <c r="G24" s="402"/>
      <c r="H24" s="402"/>
      <c r="I24" s="402"/>
      <c r="J24" s="402"/>
      <c r="K24" s="401"/>
      <c r="L24" s="401"/>
      <c r="M24" s="401"/>
      <c r="N24" s="401"/>
      <c r="O24" s="401"/>
      <c r="P24" s="401"/>
      <c r="Q24" s="408"/>
      <c r="R24" s="408"/>
      <c r="S24" s="408"/>
      <c r="T24" s="408"/>
    </row>
    <row r="50" spans="16:24" ht="15" thickBot="1" x14ac:dyDescent="0.35"/>
    <row r="51" spans="16:24" ht="15" thickBot="1" x14ac:dyDescent="0.35">
      <c r="P51" s="624" t="s">
        <v>187</v>
      </c>
      <c r="Q51" s="625"/>
      <c r="R51" s="625"/>
      <c r="S51" s="625"/>
      <c r="T51" s="626"/>
    </row>
    <row r="52" spans="16:24" ht="13.5" customHeight="1" thickBot="1" x14ac:dyDescent="0.35">
      <c r="P52" s="627" t="s">
        <v>185</v>
      </c>
      <c r="Q52" s="628"/>
      <c r="R52" s="628"/>
      <c r="S52" s="628"/>
      <c r="T52" s="629"/>
      <c r="X52" s="68" t="str">
        <f>CONCATENATE(P52, CHAR(10), " Last 10 Calendar Years")</f>
        <v>Total Mining and Mineral Exploration
 Last 10 Calendar Years</v>
      </c>
    </row>
    <row r="53" spans="16:24" ht="0.15" customHeight="1" x14ac:dyDescent="0.3"/>
    <row r="54" spans="16:24" ht="13.5" customHeight="1" x14ac:dyDescent="0.3">
      <c r="P54" s="659" t="s">
        <v>188</v>
      </c>
      <c r="Q54" s="659"/>
      <c r="R54" s="659"/>
      <c r="S54" s="659"/>
      <c r="T54" s="659"/>
    </row>
    <row r="100" spans="1:24" x14ac:dyDescent="0.3">
      <c r="L100" s="68"/>
      <c r="M100" s="68"/>
      <c r="N100" s="68"/>
      <c r="O100" s="68"/>
      <c r="P100" s="68"/>
      <c r="Q100" s="68"/>
      <c r="R100" s="68"/>
      <c r="S100" s="68"/>
      <c r="T100" s="68"/>
      <c r="U100" s="68"/>
      <c r="V100" s="68"/>
      <c r="W100" s="68"/>
      <c r="X100" s="68"/>
    </row>
    <row r="101" spans="1:24" x14ac:dyDescent="0.3">
      <c r="A101" s="410"/>
      <c r="L101" s="68"/>
      <c r="M101" s="68"/>
      <c r="N101" s="68"/>
      <c r="O101" s="68"/>
      <c r="P101" s="68"/>
      <c r="Q101" s="68"/>
      <c r="R101" s="68"/>
      <c r="S101" s="68"/>
      <c r="T101" s="68"/>
      <c r="U101" s="68"/>
      <c r="V101" s="68"/>
      <c r="W101" s="68"/>
      <c r="X101" s="68"/>
    </row>
    <row r="102" spans="1:24" x14ac:dyDescent="0.3">
      <c r="A102" s="410"/>
      <c r="L102" s="68"/>
      <c r="M102" s="2">
        <f>LARGE($B$7:$BD$7,10)</f>
        <v>2014</v>
      </c>
      <c r="N102" s="2">
        <f>LARGE($B$7:$BD$7,9)</f>
        <v>2015</v>
      </c>
      <c r="O102" s="2">
        <f>LARGE($B$7:$BD$7,8)</f>
        <v>2016</v>
      </c>
      <c r="P102" s="2">
        <f>LARGE($B$7:$BD$7,7)</f>
        <v>2017</v>
      </c>
      <c r="Q102" s="2">
        <f>LARGE($B$7:$BD$7,6)</f>
        <v>2018</v>
      </c>
      <c r="R102" s="2">
        <f>LARGE($B$7:$BD$7,5)</f>
        <v>2019</v>
      </c>
      <c r="S102" s="2">
        <f>LARGE($B$7:$BD$7,4)</f>
        <v>2020</v>
      </c>
      <c r="T102" s="2">
        <f>LARGE($B$7:$BD$7,3)</f>
        <v>2021</v>
      </c>
      <c r="U102" s="2">
        <f>LARGE($B$7:$BD$7,2)</f>
        <v>2022</v>
      </c>
      <c r="V102" s="2">
        <f>LARGE($B$7:$BD$7,1)</f>
        <v>2023</v>
      </c>
      <c r="W102" s="68"/>
      <c r="X102" s="68"/>
    </row>
    <row r="103" spans="1:24" x14ac:dyDescent="0.3">
      <c r="L103" s="68"/>
      <c r="M103" s="2">
        <f t="shared" ref="M103:V103" ca="1" si="3">INDEX($A$1:$BC$1,1,MATCH(M102,$A$7:$BD$7,0))</f>
        <v>97493.983500000002</v>
      </c>
      <c r="N103" s="2">
        <f t="shared" ca="1" si="3"/>
        <v>91107.532500000001</v>
      </c>
      <c r="O103" s="2">
        <f t="shared" ca="1" si="3"/>
        <v>85435.5</v>
      </c>
      <c r="P103" s="2">
        <f t="shared" ca="1" si="3"/>
        <v>88877.331000000006</v>
      </c>
      <c r="Q103" s="2">
        <f t="shared" ca="1" si="3"/>
        <v>96897.808499999999</v>
      </c>
      <c r="R103" s="2">
        <f t="shared" ca="1" si="3"/>
        <v>105054.796</v>
      </c>
      <c r="S103" s="2">
        <f t="shared" ca="1" si="3"/>
        <v>112005.356</v>
      </c>
      <c r="T103" s="2">
        <f t="shared" ca="1" si="3"/>
        <v>122250.8845</v>
      </c>
      <c r="U103" s="2">
        <f t="shared" ca="1" si="3"/>
        <v>127333.99249999999</v>
      </c>
      <c r="V103" s="2">
        <f t="shared" ca="1" si="3"/>
        <v>134716.70000000001</v>
      </c>
      <c r="W103" s="68"/>
      <c r="X103" s="68"/>
    </row>
    <row r="104" spans="1:24" x14ac:dyDescent="0.3">
      <c r="L104" s="68"/>
      <c r="M104" s="68"/>
      <c r="N104" s="68"/>
      <c r="O104" s="68"/>
      <c r="P104" s="68"/>
      <c r="Q104" s="68"/>
      <c r="R104" s="68"/>
      <c r="S104" s="68"/>
      <c r="T104" s="68"/>
      <c r="U104" s="68"/>
      <c r="V104" s="68"/>
      <c r="W104" s="68"/>
      <c r="X104" s="68"/>
    </row>
    <row r="105" spans="1:24" x14ac:dyDescent="0.3">
      <c r="L105" s="68"/>
      <c r="M105" s="68"/>
      <c r="N105" s="68"/>
      <c r="O105" s="68"/>
      <c r="P105" s="68"/>
      <c r="Q105" s="68"/>
      <c r="R105" s="68"/>
      <c r="S105" s="68"/>
      <c r="T105" s="68"/>
      <c r="U105" s="68"/>
      <c r="V105" s="68"/>
      <c r="W105" s="68"/>
      <c r="X105" s="68"/>
    </row>
    <row r="106" spans="1:24" x14ac:dyDescent="0.3">
      <c r="L106" s="68"/>
      <c r="M106" s="68"/>
      <c r="N106" s="68"/>
      <c r="O106" s="68"/>
      <c r="P106" s="68"/>
      <c r="Q106" s="68"/>
      <c r="R106" s="68"/>
      <c r="S106" s="68"/>
      <c r="T106" s="68"/>
      <c r="U106" s="68"/>
      <c r="V106" s="68"/>
      <c r="W106" s="68"/>
      <c r="X106" s="68"/>
    </row>
  </sheetData>
  <mergeCells count="3">
    <mergeCell ref="P51:T51"/>
    <mergeCell ref="P52:T52"/>
    <mergeCell ref="P54:T54"/>
  </mergeCells>
  <dataValidations count="1">
    <dataValidation type="list" allowBlank="1" showInputMessage="1" showErrorMessage="1" sqref="P52:T52" xr:uid="{8A6C1077-5C64-4405-8EB5-74902D650D0F}">
      <formula1>$A$8:$A$22</formula1>
    </dataValidation>
  </dataValidation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64A9B-294B-4FDA-87D9-03F385808C91}">
  <sheetPr codeName="Sheet17"/>
  <dimension ref="A1:DD119"/>
  <sheetViews>
    <sheetView showGridLines="0" zoomScale="85" zoomScaleNormal="85" workbookViewId="0">
      <pane xSplit="1" topLeftCell="B1" activePane="topRight" state="frozen"/>
      <selection pane="topRight"/>
    </sheetView>
  </sheetViews>
  <sheetFormatPr defaultColWidth="9.109375" defaultRowHeight="14.4" x14ac:dyDescent="0.3"/>
  <cols>
    <col min="1" max="1" width="75.6640625" customWidth="1"/>
    <col min="2" max="11" width="10.33203125" bestFit="1" customWidth="1"/>
    <col min="12" max="12" width="11.33203125" bestFit="1" customWidth="1"/>
    <col min="15" max="15" width="10.109375" bestFit="1" customWidth="1"/>
    <col min="16" max="16" width="10.109375" customWidth="1"/>
    <col min="17" max="17" width="11.33203125" customWidth="1"/>
    <col min="18" max="18" width="12.109375" customWidth="1"/>
    <col min="19" max="20" width="11.33203125" customWidth="1"/>
    <col min="21" max="21" width="10.5546875" customWidth="1"/>
    <col min="22" max="23" width="10.33203125" customWidth="1"/>
  </cols>
  <sheetData>
    <row r="1" spans="1:108" s="411" customFormat="1" ht="15.75" customHeight="1" x14ac:dyDescent="0.2">
      <c r="B1" s="412">
        <f t="shared" ref="B1:BM1" ca="1" si="0">INDIRECT(ADDRESS(MATCH($O$51,$A$1:$A$22,0),COLUMN(B$2)))</f>
        <v>42783.161500000002</v>
      </c>
      <c r="C1" s="412">
        <f t="shared" ca="1" si="0"/>
        <v>43409.146500000003</v>
      </c>
      <c r="D1" s="412">
        <f t="shared" ca="1" si="0"/>
        <v>46644.175499999998</v>
      </c>
      <c r="E1" s="412">
        <f t="shared" ca="1" si="0"/>
        <v>50865.745999999999</v>
      </c>
      <c r="F1" s="412">
        <f t="shared" ca="1" si="0"/>
        <v>56876.5985</v>
      </c>
      <c r="G1" s="412">
        <f t="shared" ca="1" si="0"/>
        <v>63989.306499999999</v>
      </c>
      <c r="H1" s="412">
        <f t="shared" ca="1" si="0"/>
        <v>68968.488500000007</v>
      </c>
      <c r="I1" s="412">
        <f t="shared" ca="1" si="0"/>
        <v>73947.702499999999</v>
      </c>
      <c r="J1" s="412">
        <f t="shared" ca="1" si="0"/>
        <v>70160.726999999999</v>
      </c>
      <c r="K1" s="412">
        <f t="shared" ca="1" si="0"/>
        <v>82097.331999999995</v>
      </c>
      <c r="L1" s="412">
        <f t="shared" ca="1" si="0"/>
        <v>97623.532000000007</v>
      </c>
      <c r="M1" s="412">
        <f t="shared" ca="1" si="0"/>
        <v>104103.285</v>
      </c>
      <c r="N1" s="412">
        <f t="shared" ca="1" si="0"/>
        <v>100446.82799999999</v>
      </c>
      <c r="O1" s="412">
        <f t="shared" ca="1" si="0"/>
        <v>94730.441000000006</v>
      </c>
      <c r="P1" s="412">
        <f t="shared" ca="1" si="0"/>
        <v>87834.373500000002</v>
      </c>
      <c r="Q1" s="412">
        <f t="shared" ca="1" si="0"/>
        <v>86488.218500000003</v>
      </c>
      <c r="R1" s="412">
        <f t="shared" ca="1" si="0"/>
        <v>92300.384000000005</v>
      </c>
      <c r="S1" s="412">
        <f t="shared" ca="1" si="0"/>
        <v>101136.67</v>
      </c>
      <c r="T1" s="412">
        <f t="shared" ca="1" si="0"/>
        <v>107770.73</v>
      </c>
      <c r="U1" s="412">
        <f t="shared" ca="1" si="0"/>
        <v>118089.075</v>
      </c>
      <c r="V1" s="412">
        <f t="shared" ca="1" si="0"/>
        <v>123723.3195</v>
      </c>
      <c r="W1" s="412">
        <f t="shared" ca="1" si="0"/>
        <v>131738.48850000001</v>
      </c>
      <c r="X1" s="412">
        <f t="shared" ca="1" si="0"/>
        <v>139033.83900000001</v>
      </c>
      <c r="Y1" s="412">
        <f t="shared" ca="1" si="0"/>
        <v>0</v>
      </c>
      <c r="Z1" s="412">
        <f t="shared" ca="1" si="0"/>
        <v>0</v>
      </c>
      <c r="AA1" s="412">
        <f t="shared" ca="1" si="0"/>
        <v>0</v>
      </c>
      <c r="AB1" s="412">
        <f t="shared" ca="1" si="0"/>
        <v>0</v>
      </c>
      <c r="AC1" s="412">
        <f t="shared" ca="1" si="0"/>
        <v>0</v>
      </c>
      <c r="AD1" s="412">
        <f t="shared" ca="1" si="0"/>
        <v>0</v>
      </c>
      <c r="AE1" s="412">
        <f t="shared" ca="1" si="0"/>
        <v>0</v>
      </c>
      <c r="AF1" s="412">
        <f t="shared" ca="1" si="0"/>
        <v>0</v>
      </c>
      <c r="AG1" s="412">
        <f t="shared" ca="1" si="0"/>
        <v>0</v>
      </c>
      <c r="AH1" s="412">
        <f t="shared" ca="1" si="0"/>
        <v>0</v>
      </c>
      <c r="AI1" s="412">
        <f t="shared" ca="1" si="0"/>
        <v>0</v>
      </c>
      <c r="AJ1" s="412">
        <f t="shared" ca="1" si="0"/>
        <v>0</v>
      </c>
      <c r="AK1" s="412">
        <f t="shared" ca="1" si="0"/>
        <v>0</v>
      </c>
      <c r="AL1" s="412">
        <f t="shared" ca="1" si="0"/>
        <v>0</v>
      </c>
      <c r="AM1" s="412">
        <f t="shared" ca="1" si="0"/>
        <v>0</v>
      </c>
      <c r="AN1" s="412">
        <f t="shared" ca="1" si="0"/>
        <v>0</v>
      </c>
      <c r="AO1" s="412">
        <f t="shared" ca="1" si="0"/>
        <v>0</v>
      </c>
      <c r="AP1" s="412">
        <f t="shared" ca="1" si="0"/>
        <v>0</v>
      </c>
      <c r="AQ1" s="412">
        <f t="shared" ca="1" si="0"/>
        <v>0</v>
      </c>
      <c r="AR1" s="412">
        <f t="shared" ca="1" si="0"/>
        <v>0</v>
      </c>
      <c r="AS1" s="412">
        <f t="shared" ca="1" si="0"/>
        <v>0</v>
      </c>
      <c r="AT1" s="412">
        <f t="shared" ca="1" si="0"/>
        <v>0</v>
      </c>
      <c r="AU1" s="412">
        <f t="shared" ca="1" si="0"/>
        <v>0</v>
      </c>
      <c r="AV1" s="412">
        <f t="shared" ca="1" si="0"/>
        <v>0</v>
      </c>
      <c r="AW1" s="412">
        <f t="shared" ca="1" si="0"/>
        <v>0</v>
      </c>
      <c r="AX1" s="412">
        <f t="shared" ca="1" si="0"/>
        <v>0</v>
      </c>
      <c r="AY1" s="412">
        <f t="shared" ca="1" si="0"/>
        <v>0</v>
      </c>
      <c r="AZ1" s="412">
        <f t="shared" ca="1" si="0"/>
        <v>0</v>
      </c>
      <c r="BA1" s="412">
        <f t="shared" ca="1" si="0"/>
        <v>0</v>
      </c>
      <c r="BB1" s="412">
        <f t="shared" ca="1" si="0"/>
        <v>0</v>
      </c>
      <c r="BC1" s="412">
        <f t="shared" ca="1" si="0"/>
        <v>0</v>
      </c>
      <c r="BD1" s="412">
        <f t="shared" ca="1" si="0"/>
        <v>0</v>
      </c>
      <c r="BE1" s="412">
        <f t="shared" ca="1" si="0"/>
        <v>0</v>
      </c>
      <c r="BF1" s="412">
        <f t="shared" ca="1" si="0"/>
        <v>0</v>
      </c>
      <c r="BG1" s="412">
        <f t="shared" ca="1" si="0"/>
        <v>0</v>
      </c>
      <c r="BH1" s="412">
        <f t="shared" ca="1" si="0"/>
        <v>0</v>
      </c>
      <c r="BI1" s="412">
        <f t="shared" ca="1" si="0"/>
        <v>0</v>
      </c>
      <c r="BJ1" s="412">
        <f t="shared" ca="1" si="0"/>
        <v>0</v>
      </c>
      <c r="BK1" s="412">
        <f t="shared" ca="1" si="0"/>
        <v>0</v>
      </c>
      <c r="BL1" s="412">
        <f t="shared" ca="1" si="0"/>
        <v>0</v>
      </c>
      <c r="BM1" s="412">
        <f t="shared" ca="1" si="0"/>
        <v>0</v>
      </c>
      <c r="BN1" s="412">
        <f t="shared" ref="BN1:DD1" ca="1" si="1">INDIRECT(ADDRESS(MATCH($O$51,$A$1:$A$22,0),COLUMN(BN$2)))</f>
        <v>0</v>
      </c>
      <c r="BO1" s="412">
        <f t="shared" ca="1" si="1"/>
        <v>0</v>
      </c>
      <c r="BP1" s="412">
        <f t="shared" ca="1" si="1"/>
        <v>0</v>
      </c>
      <c r="BQ1" s="412">
        <f t="shared" ca="1" si="1"/>
        <v>0</v>
      </c>
      <c r="BR1" s="412">
        <f t="shared" ca="1" si="1"/>
        <v>0</v>
      </c>
      <c r="BS1" s="412">
        <f t="shared" ca="1" si="1"/>
        <v>0</v>
      </c>
      <c r="BT1" s="412">
        <f t="shared" ca="1" si="1"/>
        <v>0</v>
      </c>
      <c r="BU1" s="412">
        <f t="shared" ca="1" si="1"/>
        <v>0</v>
      </c>
      <c r="BV1" s="412">
        <f t="shared" ca="1" si="1"/>
        <v>0</v>
      </c>
      <c r="BW1" s="412">
        <f t="shared" ca="1" si="1"/>
        <v>0</v>
      </c>
      <c r="BX1" s="412">
        <f t="shared" ca="1" si="1"/>
        <v>0</v>
      </c>
      <c r="BY1" s="412">
        <f t="shared" ca="1" si="1"/>
        <v>0</v>
      </c>
      <c r="BZ1" s="412">
        <f t="shared" ca="1" si="1"/>
        <v>0</v>
      </c>
      <c r="CA1" s="412">
        <f t="shared" ca="1" si="1"/>
        <v>0</v>
      </c>
      <c r="CB1" s="412">
        <f t="shared" ca="1" si="1"/>
        <v>0</v>
      </c>
      <c r="CC1" s="412">
        <f t="shared" ca="1" si="1"/>
        <v>0</v>
      </c>
      <c r="CD1" s="412">
        <f t="shared" ca="1" si="1"/>
        <v>0</v>
      </c>
      <c r="CE1" s="412">
        <f t="shared" ca="1" si="1"/>
        <v>0</v>
      </c>
      <c r="CF1" s="412">
        <f t="shared" ca="1" si="1"/>
        <v>0</v>
      </c>
      <c r="CG1" s="412">
        <f t="shared" ca="1" si="1"/>
        <v>0</v>
      </c>
      <c r="CH1" s="412">
        <f t="shared" ca="1" si="1"/>
        <v>0</v>
      </c>
      <c r="CI1" s="412">
        <f t="shared" ca="1" si="1"/>
        <v>0</v>
      </c>
      <c r="CJ1" s="412">
        <f t="shared" ca="1" si="1"/>
        <v>0</v>
      </c>
      <c r="CK1" s="412">
        <f t="shared" ca="1" si="1"/>
        <v>0</v>
      </c>
      <c r="CL1" s="412">
        <f t="shared" ca="1" si="1"/>
        <v>0</v>
      </c>
      <c r="CM1" s="412">
        <f t="shared" ca="1" si="1"/>
        <v>0</v>
      </c>
      <c r="CN1" s="412">
        <f t="shared" ca="1" si="1"/>
        <v>0</v>
      </c>
      <c r="CO1" s="412">
        <f t="shared" ca="1" si="1"/>
        <v>0</v>
      </c>
      <c r="CP1" s="412">
        <f t="shared" ca="1" si="1"/>
        <v>0</v>
      </c>
      <c r="CQ1" s="412">
        <f t="shared" ca="1" si="1"/>
        <v>0</v>
      </c>
      <c r="CR1" s="412">
        <f t="shared" ca="1" si="1"/>
        <v>0</v>
      </c>
      <c r="CS1" s="412">
        <f t="shared" ca="1" si="1"/>
        <v>0</v>
      </c>
      <c r="CT1" s="412">
        <f t="shared" ca="1" si="1"/>
        <v>0</v>
      </c>
      <c r="CU1" s="412">
        <f t="shared" ca="1" si="1"/>
        <v>0</v>
      </c>
      <c r="CV1" s="412">
        <f t="shared" ca="1" si="1"/>
        <v>0</v>
      </c>
      <c r="CW1" s="412">
        <f t="shared" ca="1" si="1"/>
        <v>0</v>
      </c>
      <c r="CX1" s="412">
        <f t="shared" ca="1" si="1"/>
        <v>0</v>
      </c>
      <c r="CY1" s="412">
        <f t="shared" ca="1" si="1"/>
        <v>0</v>
      </c>
      <c r="CZ1" s="412">
        <f t="shared" ca="1" si="1"/>
        <v>0</v>
      </c>
      <c r="DA1" s="412">
        <f t="shared" ca="1" si="1"/>
        <v>0</v>
      </c>
      <c r="DB1" s="412">
        <f t="shared" ca="1" si="1"/>
        <v>0</v>
      </c>
      <c r="DC1" s="412">
        <f t="shared" ca="1" si="1"/>
        <v>0</v>
      </c>
      <c r="DD1" s="412">
        <f t="shared" ca="1" si="1"/>
        <v>0</v>
      </c>
    </row>
    <row r="2" spans="1:108" s="411" customFormat="1" ht="15.75" customHeight="1" x14ac:dyDescent="0.2">
      <c r="B2" s="412">
        <f t="shared" ref="B2:P2" si="2">_xlfn.NUMBERVALUE(LEFT(B7,4))</f>
        <v>2001</v>
      </c>
      <c r="C2" s="412">
        <f t="shared" si="2"/>
        <v>2002</v>
      </c>
      <c r="D2" s="412">
        <f t="shared" si="2"/>
        <v>2003</v>
      </c>
      <c r="E2" s="412">
        <f t="shared" si="2"/>
        <v>2004</v>
      </c>
      <c r="F2" s="412">
        <f t="shared" si="2"/>
        <v>2005</v>
      </c>
      <c r="G2" s="412">
        <f t="shared" si="2"/>
        <v>2006</v>
      </c>
      <c r="H2" s="412">
        <f t="shared" si="2"/>
        <v>2007</v>
      </c>
      <c r="I2" s="412">
        <f t="shared" si="2"/>
        <v>2008</v>
      </c>
      <c r="J2" s="412">
        <f t="shared" si="2"/>
        <v>2009</v>
      </c>
      <c r="K2" s="412">
        <f t="shared" si="2"/>
        <v>2010</v>
      </c>
      <c r="L2" s="412">
        <f t="shared" si="2"/>
        <v>2011</v>
      </c>
      <c r="M2" s="412">
        <f t="shared" si="2"/>
        <v>2012</v>
      </c>
      <c r="N2" s="412">
        <f t="shared" si="2"/>
        <v>2013</v>
      </c>
      <c r="O2" s="412">
        <f t="shared" si="2"/>
        <v>2014</v>
      </c>
      <c r="P2" s="412">
        <f t="shared" si="2"/>
        <v>2015</v>
      </c>
      <c r="Q2" s="412">
        <f>_xlfn.NUMBERVALUE(LEFT(Q7,4))</f>
        <v>2016</v>
      </c>
      <c r="R2" s="412">
        <f>_xlfn.NUMBERVALUE(LEFT(R7,4))</f>
        <v>2017</v>
      </c>
      <c r="S2" s="412">
        <f t="shared" ref="S2:X2" si="3">_xlfn.NUMBERVALUE(LEFT(S7,4))</f>
        <v>2018</v>
      </c>
      <c r="T2" s="412">
        <f>_xlfn.NUMBERVALUE(LEFT(T7,4))</f>
        <v>2019</v>
      </c>
      <c r="U2" s="412">
        <f t="shared" si="3"/>
        <v>2020</v>
      </c>
      <c r="V2" s="412">
        <f>_xlfn.NUMBERVALUE(LEFT(V7,4))</f>
        <v>2021</v>
      </c>
      <c r="W2" s="412">
        <f>_xlfn.NUMBERVALUE(LEFT(W7,4))</f>
        <v>2022</v>
      </c>
      <c r="X2" s="412">
        <f t="shared" si="3"/>
        <v>2023</v>
      </c>
      <c r="Y2" s="412">
        <f t="shared" ref="Y2:BC2" si="4">_xlfn.NUMBERVALUE(LEFT(Z7,4))</f>
        <v>0</v>
      </c>
      <c r="Z2" s="412">
        <f t="shared" si="4"/>
        <v>0</v>
      </c>
      <c r="AA2" s="412">
        <f t="shared" si="4"/>
        <v>0</v>
      </c>
      <c r="AB2" s="412">
        <f t="shared" si="4"/>
        <v>0</v>
      </c>
      <c r="AC2" s="412">
        <f t="shared" si="4"/>
        <v>0</v>
      </c>
      <c r="AD2" s="412">
        <f t="shared" si="4"/>
        <v>0</v>
      </c>
      <c r="AE2" s="412">
        <f t="shared" si="4"/>
        <v>0</v>
      </c>
      <c r="AF2" s="412">
        <f t="shared" si="4"/>
        <v>0</v>
      </c>
      <c r="AG2" s="412">
        <f t="shared" si="4"/>
        <v>0</v>
      </c>
      <c r="AH2" s="412">
        <f t="shared" si="4"/>
        <v>0</v>
      </c>
      <c r="AI2" s="412">
        <f t="shared" si="4"/>
        <v>0</v>
      </c>
      <c r="AJ2" s="412">
        <f t="shared" si="4"/>
        <v>0</v>
      </c>
      <c r="AK2" s="412">
        <f t="shared" si="4"/>
        <v>0</v>
      </c>
      <c r="AL2" s="412">
        <f t="shared" si="4"/>
        <v>0</v>
      </c>
      <c r="AM2" s="412">
        <f t="shared" si="4"/>
        <v>0</v>
      </c>
      <c r="AN2" s="412">
        <f t="shared" si="4"/>
        <v>0</v>
      </c>
      <c r="AO2" s="412">
        <f t="shared" si="4"/>
        <v>0</v>
      </c>
      <c r="AP2" s="412">
        <f t="shared" si="4"/>
        <v>0</v>
      </c>
      <c r="AQ2" s="412">
        <f t="shared" si="4"/>
        <v>0</v>
      </c>
      <c r="AR2" s="412">
        <f t="shared" si="4"/>
        <v>0</v>
      </c>
      <c r="AS2" s="412">
        <f t="shared" si="4"/>
        <v>0</v>
      </c>
      <c r="AT2" s="412">
        <f t="shared" si="4"/>
        <v>0</v>
      </c>
      <c r="AU2" s="412">
        <f t="shared" si="4"/>
        <v>0</v>
      </c>
      <c r="AV2" s="412">
        <f t="shared" si="4"/>
        <v>0</v>
      </c>
      <c r="AW2" s="412">
        <f t="shared" si="4"/>
        <v>0</v>
      </c>
      <c r="AX2" s="412">
        <f t="shared" si="4"/>
        <v>0</v>
      </c>
      <c r="AY2" s="412">
        <f t="shared" si="4"/>
        <v>0</v>
      </c>
      <c r="AZ2" s="412">
        <f t="shared" si="4"/>
        <v>0</v>
      </c>
      <c r="BA2" s="412">
        <f t="shared" si="4"/>
        <v>0</v>
      </c>
      <c r="BB2" s="412">
        <f t="shared" si="4"/>
        <v>0</v>
      </c>
      <c r="BC2" s="412">
        <f t="shared" si="4"/>
        <v>0</v>
      </c>
    </row>
    <row r="3" spans="1:108" s="413" customFormat="1" ht="15.75" customHeight="1" x14ac:dyDescent="0.3"/>
    <row r="4" spans="1:108" s="413" customFormat="1" ht="15.75" customHeight="1" x14ac:dyDescent="0.3"/>
    <row r="5" spans="1:108" s="107" customFormat="1" ht="15.75" customHeight="1" x14ac:dyDescent="0.3">
      <c r="B5" s="2"/>
      <c r="C5" s="2"/>
      <c r="D5" s="2"/>
      <c r="E5" s="2"/>
      <c r="F5" s="2"/>
      <c r="G5" s="2"/>
      <c r="H5" s="2"/>
      <c r="I5" s="2"/>
      <c r="J5" s="2"/>
      <c r="K5" s="2"/>
      <c r="L5" s="2"/>
      <c r="M5" s="2"/>
      <c r="N5" s="2"/>
      <c r="O5" s="2"/>
      <c r="P5" s="2"/>
      <c r="Q5" s="2"/>
      <c r="R5" s="2"/>
      <c r="S5" s="2"/>
    </row>
    <row r="6" spans="1:108" s="107" customFormat="1" ht="15.75" customHeight="1" thickBot="1" x14ac:dyDescent="0.35">
      <c r="A6" s="387" t="s">
        <v>189</v>
      </c>
    </row>
    <row r="7" spans="1:108" s="107" customFormat="1" x14ac:dyDescent="0.3">
      <c r="A7" s="388" t="s">
        <v>82</v>
      </c>
      <c r="B7" s="414" t="s">
        <v>163</v>
      </c>
      <c r="C7" s="415" t="s">
        <v>164</v>
      </c>
      <c r="D7" s="415" t="s">
        <v>165</v>
      </c>
      <c r="E7" s="415" t="s">
        <v>166</v>
      </c>
      <c r="F7" s="415" t="s">
        <v>167</v>
      </c>
      <c r="G7" s="415" t="s">
        <v>168</v>
      </c>
      <c r="H7" s="415" t="s">
        <v>169</v>
      </c>
      <c r="I7" s="415" t="s">
        <v>170</v>
      </c>
      <c r="J7" s="415" t="s">
        <v>171</v>
      </c>
      <c r="K7" s="415" t="s">
        <v>172</v>
      </c>
      <c r="L7" s="415" t="s">
        <v>173</v>
      </c>
      <c r="M7" s="415" t="s">
        <v>174</v>
      </c>
      <c r="N7" s="415" t="s">
        <v>175</v>
      </c>
      <c r="O7" s="415" t="s">
        <v>176</v>
      </c>
      <c r="P7" s="415" t="s">
        <v>100</v>
      </c>
      <c r="Q7" s="415" t="s">
        <v>101</v>
      </c>
      <c r="R7" s="415" t="s">
        <v>102</v>
      </c>
      <c r="S7" s="415" t="s">
        <v>103</v>
      </c>
      <c r="T7" s="415" t="s">
        <v>104</v>
      </c>
      <c r="U7" s="415" t="s">
        <v>105</v>
      </c>
      <c r="V7" s="415" t="s">
        <v>106</v>
      </c>
      <c r="W7" s="415" t="s">
        <v>107</v>
      </c>
      <c r="X7" s="416" t="s">
        <v>703</v>
      </c>
    </row>
    <row r="8" spans="1:108" s="107" customFormat="1" x14ac:dyDescent="0.3">
      <c r="A8" s="400" t="s">
        <v>85</v>
      </c>
      <c r="B8" s="417">
        <v>6182.0625</v>
      </c>
      <c r="C8" s="418">
        <v>6299.2704999999996</v>
      </c>
      <c r="D8" s="418">
        <v>6433.9184999999998</v>
      </c>
      <c r="E8" s="418">
        <v>7814.6634999999997</v>
      </c>
      <c r="F8" s="418">
        <v>9188.9105</v>
      </c>
      <c r="G8" s="418">
        <v>8072.42</v>
      </c>
      <c r="H8" s="418">
        <v>7914.6665000000003</v>
      </c>
      <c r="I8" s="418">
        <v>7953.06</v>
      </c>
      <c r="J8" s="418">
        <v>8706.1064999999999</v>
      </c>
      <c r="K8" s="418">
        <v>11094.102500000001</v>
      </c>
      <c r="L8" s="418">
        <v>10371.081</v>
      </c>
      <c r="M8" s="418">
        <v>7249.9129999999996</v>
      </c>
      <c r="N8" s="418">
        <v>7193.5024999999996</v>
      </c>
      <c r="O8" s="418">
        <v>7016.5155000000004</v>
      </c>
      <c r="P8" s="418">
        <v>6619.0619999999999</v>
      </c>
      <c r="Q8" s="419">
        <v>6145.0595000000003</v>
      </c>
      <c r="R8" s="419">
        <v>6481.8739999999998</v>
      </c>
      <c r="S8" s="419">
        <v>6923.7704999999996</v>
      </c>
      <c r="T8" s="419">
        <v>6764.6319999999996</v>
      </c>
      <c r="U8" s="419">
        <v>6839.7790000000005</v>
      </c>
      <c r="V8" s="419">
        <v>6733.357</v>
      </c>
      <c r="W8" s="419">
        <v>7201.9584999999997</v>
      </c>
      <c r="X8" s="420">
        <v>7021.3689999999997</v>
      </c>
    </row>
    <row r="9" spans="1:108" s="107" customFormat="1" x14ac:dyDescent="0.3">
      <c r="A9" s="400" t="s">
        <v>179</v>
      </c>
      <c r="B9" s="421">
        <v>575.90150000000006</v>
      </c>
      <c r="C9" s="422">
        <v>547.36199999999997</v>
      </c>
      <c r="D9" s="422">
        <v>538.87300000000005</v>
      </c>
      <c r="E9" s="422">
        <v>553.59649999999999</v>
      </c>
      <c r="F9" s="422">
        <v>637.35149999999999</v>
      </c>
      <c r="G9" s="422">
        <v>631.94150000000002</v>
      </c>
      <c r="H9" s="422">
        <v>637.351</v>
      </c>
      <c r="I9" s="422">
        <v>717.50649999999996</v>
      </c>
      <c r="J9" s="422">
        <v>739.06550000000004</v>
      </c>
      <c r="K9" s="422">
        <v>657.14750000000004</v>
      </c>
      <c r="L9" s="422">
        <v>716.72500000000002</v>
      </c>
      <c r="M9" s="422">
        <v>728.97450000000003</v>
      </c>
      <c r="N9" s="422">
        <v>714.64400000000001</v>
      </c>
      <c r="O9" s="422">
        <v>805.846</v>
      </c>
      <c r="P9" s="422">
        <v>848.78449999999998</v>
      </c>
      <c r="Q9" s="423">
        <v>768.93349999999998</v>
      </c>
      <c r="R9" s="423">
        <v>753.64800000000002</v>
      </c>
      <c r="S9" s="423">
        <v>711.346</v>
      </c>
      <c r="T9" s="423">
        <v>700.178</v>
      </c>
      <c r="U9" s="423">
        <v>642.28200000000004</v>
      </c>
      <c r="V9" s="423">
        <v>675.17200000000003</v>
      </c>
      <c r="W9" s="423">
        <v>823.75900000000001</v>
      </c>
      <c r="X9" s="424">
        <v>860.74199999999996</v>
      </c>
    </row>
    <row r="10" spans="1:108" s="107" customFormat="1" x14ac:dyDescent="0.3">
      <c r="A10" s="400" t="s">
        <v>180</v>
      </c>
      <c r="B10" s="425">
        <v>595.99149999999997</v>
      </c>
      <c r="C10" s="418">
        <v>294.702</v>
      </c>
      <c r="D10" s="418">
        <v>289.322</v>
      </c>
      <c r="E10" s="418">
        <v>344.76249999999999</v>
      </c>
      <c r="F10" s="418">
        <v>406.65050000000002</v>
      </c>
      <c r="G10" s="418">
        <v>528.12800000000004</v>
      </c>
      <c r="H10" s="418">
        <v>620.40499999999997</v>
      </c>
      <c r="I10" s="418">
        <v>624.41200000000003</v>
      </c>
      <c r="J10" s="418">
        <v>584.69749999999999</v>
      </c>
      <c r="K10" s="418">
        <v>650.38049999999998</v>
      </c>
      <c r="L10" s="418">
        <v>861.26400000000001</v>
      </c>
      <c r="M10" s="418">
        <v>886.18899999999996</v>
      </c>
      <c r="N10" s="418">
        <v>904.02850000000001</v>
      </c>
      <c r="O10" s="418">
        <v>872.11950000000002</v>
      </c>
      <c r="P10" s="418">
        <v>707.12599999999998</v>
      </c>
      <c r="Q10" s="419">
        <v>766.92949999999996</v>
      </c>
      <c r="R10" s="419">
        <v>766.83150000000001</v>
      </c>
      <c r="S10" s="419">
        <v>766.25149999999996</v>
      </c>
      <c r="T10" s="419">
        <v>706.49699999999996</v>
      </c>
      <c r="U10" s="419">
        <v>680.05</v>
      </c>
      <c r="V10" s="419">
        <v>779.0335</v>
      </c>
      <c r="W10" s="419">
        <v>884.99450000000002</v>
      </c>
      <c r="X10" s="420">
        <v>882.86</v>
      </c>
    </row>
    <row r="11" spans="1:108" s="107" customFormat="1" x14ac:dyDescent="0.3">
      <c r="A11" s="400" t="s">
        <v>86</v>
      </c>
      <c r="B11" s="421">
        <v>1286.2194999999999</v>
      </c>
      <c r="C11" s="422">
        <v>1427.3335</v>
      </c>
      <c r="D11" s="422">
        <v>1132.3354999999999</v>
      </c>
      <c r="E11" s="422">
        <v>1375.2915</v>
      </c>
      <c r="F11" s="422">
        <v>1902.1020000000001</v>
      </c>
      <c r="G11" s="422">
        <v>2345.0355</v>
      </c>
      <c r="H11" s="422">
        <v>2511.2179999999998</v>
      </c>
      <c r="I11" s="422">
        <v>1902.4880000000001</v>
      </c>
      <c r="J11" s="422">
        <v>1665.4549999999999</v>
      </c>
      <c r="K11" s="422">
        <v>2041.384</v>
      </c>
      <c r="L11" s="422">
        <v>2619.991</v>
      </c>
      <c r="M11" s="422">
        <v>2581.0304999999998</v>
      </c>
      <c r="N11" s="422">
        <v>2366.7449999999999</v>
      </c>
      <c r="O11" s="422">
        <v>2234.297</v>
      </c>
      <c r="P11" s="422">
        <v>1959.7529999999999</v>
      </c>
      <c r="Q11" s="423">
        <v>1889.7085</v>
      </c>
      <c r="R11" s="423">
        <v>2147.335</v>
      </c>
      <c r="S11" s="423">
        <v>2255.8355000000001</v>
      </c>
      <c r="T11" s="423">
        <v>2075.163</v>
      </c>
      <c r="U11" s="423">
        <v>1893.7235000000001</v>
      </c>
      <c r="V11" s="423">
        <v>2072.4544999999998</v>
      </c>
      <c r="W11" s="423">
        <v>1994.0165</v>
      </c>
      <c r="X11" s="424">
        <v>1499.44</v>
      </c>
    </row>
    <row r="12" spans="1:108" s="107" customFormat="1" x14ac:dyDescent="0.3">
      <c r="A12" s="400" t="s">
        <v>181</v>
      </c>
      <c r="B12" s="425">
        <v>1173.6835000000001</v>
      </c>
      <c r="C12" s="418">
        <v>1210.3235</v>
      </c>
      <c r="D12" s="418">
        <v>1284.8140000000001</v>
      </c>
      <c r="E12" s="418">
        <v>1684.4645</v>
      </c>
      <c r="F12" s="418">
        <v>1776.1115</v>
      </c>
      <c r="G12" s="418">
        <v>2154.4839999999999</v>
      </c>
      <c r="H12" s="418">
        <v>2592.8220000000001</v>
      </c>
      <c r="I12" s="418">
        <v>2326.4175</v>
      </c>
      <c r="J12" s="418">
        <v>1300.8064999999999</v>
      </c>
      <c r="K12" s="418">
        <v>1736.7825</v>
      </c>
      <c r="L12" s="418">
        <v>2356.1104999999998</v>
      </c>
      <c r="M12" s="418">
        <v>2592.0770000000002</v>
      </c>
      <c r="N12" s="418">
        <v>1526.9784999999999</v>
      </c>
      <c r="O12" s="418">
        <v>1299.405</v>
      </c>
      <c r="P12" s="418">
        <v>846.24149999999997</v>
      </c>
      <c r="Q12" s="419">
        <v>762.31200000000001</v>
      </c>
      <c r="R12" s="419">
        <v>788.7</v>
      </c>
      <c r="S12" s="419">
        <v>836.34950000000003</v>
      </c>
      <c r="T12" s="419">
        <v>617.85850000000005</v>
      </c>
      <c r="U12" s="419">
        <v>275.70800000000003</v>
      </c>
      <c r="V12" s="419">
        <v>255.7415</v>
      </c>
      <c r="W12" s="419">
        <v>357.03750000000002</v>
      </c>
      <c r="X12" s="420">
        <v>384.18599999999998</v>
      </c>
    </row>
    <row r="13" spans="1:108" s="107" customFormat="1" x14ac:dyDescent="0.3">
      <c r="A13" s="400" t="s">
        <v>87</v>
      </c>
      <c r="B13" s="421">
        <v>13121.8905</v>
      </c>
      <c r="C13" s="422">
        <v>13224.843500000001</v>
      </c>
      <c r="D13" s="422">
        <v>13737.7045</v>
      </c>
      <c r="E13" s="422">
        <v>12851.6865</v>
      </c>
      <c r="F13" s="422">
        <v>12355.647999999999</v>
      </c>
      <c r="G13" s="422">
        <v>13463.484</v>
      </c>
      <c r="H13" s="422">
        <v>14888.709000000001</v>
      </c>
      <c r="I13" s="422">
        <v>16660.057499999999</v>
      </c>
      <c r="J13" s="422">
        <v>16380.523499999999</v>
      </c>
      <c r="K13" s="422">
        <v>17667.217499999999</v>
      </c>
      <c r="L13" s="422">
        <v>20853.113000000001</v>
      </c>
      <c r="M13" s="422">
        <v>21695.715499999998</v>
      </c>
      <c r="N13" s="422">
        <v>17582.1145</v>
      </c>
      <c r="O13" s="422">
        <v>17152.786</v>
      </c>
      <c r="P13" s="422">
        <v>19356.7405</v>
      </c>
      <c r="Q13" s="423">
        <v>21764.202000000001</v>
      </c>
      <c r="R13" s="423">
        <v>23782.356</v>
      </c>
      <c r="S13" s="423">
        <v>25660.223000000002</v>
      </c>
      <c r="T13" s="423">
        <v>26286.661</v>
      </c>
      <c r="U13" s="423">
        <v>28419.491999999998</v>
      </c>
      <c r="V13" s="423">
        <v>30765.656999999999</v>
      </c>
      <c r="W13" s="423">
        <v>30074.344499999999</v>
      </c>
      <c r="X13" s="424">
        <v>31883.848999999998</v>
      </c>
    </row>
    <row r="14" spans="1:108" s="107" customFormat="1" x14ac:dyDescent="0.3">
      <c r="A14" s="400" t="s">
        <v>88</v>
      </c>
      <c r="B14" s="425">
        <v>8450.9760000000006</v>
      </c>
      <c r="C14" s="418">
        <v>9511.1934999999994</v>
      </c>
      <c r="D14" s="418">
        <v>11607.1005</v>
      </c>
      <c r="E14" s="418">
        <v>12451.105</v>
      </c>
      <c r="F14" s="418">
        <v>14860.212</v>
      </c>
      <c r="G14" s="418">
        <v>18231.694500000001</v>
      </c>
      <c r="H14" s="418">
        <v>19695.212500000001</v>
      </c>
      <c r="I14" s="418">
        <v>25546.667000000001</v>
      </c>
      <c r="J14" s="418">
        <v>25998.333999999999</v>
      </c>
      <c r="K14" s="418">
        <v>30291.171999999999</v>
      </c>
      <c r="L14" s="418">
        <v>40384.315000000002</v>
      </c>
      <c r="M14" s="418">
        <v>52271.364500000003</v>
      </c>
      <c r="N14" s="418">
        <v>56267.486499999999</v>
      </c>
      <c r="O14" s="418">
        <v>52906.603000000003</v>
      </c>
      <c r="P14" s="418">
        <v>45586.932500000003</v>
      </c>
      <c r="Q14" s="419">
        <v>41955.582499999997</v>
      </c>
      <c r="R14" s="419">
        <v>42034.974000000002</v>
      </c>
      <c r="S14" s="419">
        <v>45115.680500000002</v>
      </c>
      <c r="T14" s="419">
        <v>52321.074999999997</v>
      </c>
      <c r="U14" s="419">
        <v>60488.402999999998</v>
      </c>
      <c r="V14" s="419">
        <v>59724.626499999998</v>
      </c>
      <c r="W14" s="419">
        <v>61202.769</v>
      </c>
      <c r="X14" s="420">
        <v>62950.315000000002</v>
      </c>
    </row>
    <row r="15" spans="1:108" s="107" customFormat="1" x14ac:dyDescent="0.3">
      <c r="A15" s="400" t="s">
        <v>89</v>
      </c>
      <c r="B15" s="421">
        <v>866.75350000000003</v>
      </c>
      <c r="C15" s="422">
        <v>588.76949999999999</v>
      </c>
      <c r="D15" s="422">
        <v>644.05949999999996</v>
      </c>
      <c r="E15" s="422">
        <v>704.14300000000003</v>
      </c>
      <c r="F15" s="422">
        <v>704.63800000000003</v>
      </c>
      <c r="G15" s="422">
        <v>463.3725</v>
      </c>
      <c r="H15" s="422">
        <v>559.49649999999997</v>
      </c>
      <c r="I15" s="422">
        <v>418.01799999999997</v>
      </c>
      <c r="J15" s="422">
        <v>358.57900000000001</v>
      </c>
      <c r="K15" s="422">
        <v>564.20749999999998</v>
      </c>
      <c r="L15" s="422">
        <v>805.68650000000002</v>
      </c>
      <c r="M15" s="422">
        <v>497.59949999999998</v>
      </c>
      <c r="N15" s="422">
        <v>414.93200000000002</v>
      </c>
      <c r="O15" s="422">
        <v>396.69299999999998</v>
      </c>
      <c r="P15" s="422">
        <v>458.98899999999998</v>
      </c>
      <c r="Q15" s="423">
        <v>1104.0995</v>
      </c>
      <c r="R15" s="423">
        <v>3319.9605000000001</v>
      </c>
      <c r="S15" s="423">
        <v>4855.3644999999997</v>
      </c>
      <c r="T15" s="423">
        <v>2562.7979999999998</v>
      </c>
      <c r="U15" s="423">
        <v>1846.2474999999999</v>
      </c>
      <c r="V15" s="423">
        <v>3800.5639999999999</v>
      </c>
      <c r="W15" s="423">
        <v>8091.8459999999995</v>
      </c>
      <c r="X15" s="424">
        <v>11386.052</v>
      </c>
    </row>
    <row r="16" spans="1:108" s="107" customFormat="1" x14ac:dyDescent="0.3">
      <c r="A16" s="400" t="s">
        <v>90</v>
      </c>
      <c r="B16" s="425">
        <v>2351.8980000000001</v>
      </c>
      <c r="C16" s="418">
        <v>2039.7985000000001</v>
      </c>
      <c r="D16" s="418">
        <v>2272.817</v>
      </c>
      <c r="E16" s="418">
        <v>2210.7139999999999</v>
      </c>
      <c r="F16" s="418">
        <v>2465.585</v>
      </c>
      <c r="G16" s="418">
        <v>2435.8694999999998</v>
      </c>
      <c r="H16" s="418">
        <v>2352.567</v>
      </c>
      <c r="I16" s="418">
        <v>2173.2595000000001</v>
      </c>
      <c r="J16" s="418">
        <v>1606.4690000000001</v>
      </c>
      <c r="K16" s="418">
        <v>1402.3489999999999</v>
      </c>
      <c r="L16" s="418">
        <v>1879.9970000000001</v>
      </c>
      <c r="M16" s="418">
        <v>1652.2674999999999</v>
      </c>
      <c r="N16" s="418">
        <v>1406.4645</v>
      </c>
      <c r="O16" s="418">
        <v>1353.3744999999999</v>
      </c>
      <c r="P16" s="418">
        <v>1420.4755</v>
      </c>
      <c r="Q16" s="419">
        <v>1324.8630000000001</v>
      </c>
      <c r="R16" s="419">
        <v>1500.722</v>
      </c>
      <c r="S16" s="419">
        <v>2053.0390000000002</v>
      </c>
      <c r="T16" s="419">
        <v>1957.4649999999999</v>
      </c>
      <c r="U16" s="419">
        <v>1870.3489999999999</v>
      </c>
      <c r="V16" s="419">
        <v>2418.9225000000001</v>
      </c>
      <c r="W16" s="419">
        <v>2938.8634999999999</v>
      </c>
      <c r="X16" s="420">
        <v>2892.31</v>
      </c>
    </row>
    <row r="17" spans="1:24" s="107" customFormat="1" x14ac:dyDescent="0.3">
      <c r="A17" s="400" t="s">
        <v>91</v>
      </c>
      <c r="B17" s="421">
        <v>5689.0034999999998</v>
      </c>
      <c r="C17" s="422">
        <v>5888.7420000000002</v>
      </c>
      <c r="D17" s="422">
        <v>6250.7870000000003</v>
      </c>
      <c r="E17" s="422">
        <v>7825.3924999999999</v>
      </c>
      <c r="F17" s="422">
        <v>9336.5049999999992</v>
      </c>
      <c r="G17" s="422">
        <v>12135.503500000001</v>
      </c>
      <c r="H17" s="422">
        <v>12671.075500000001</v>
      </c>
      <c r="I17" s="422">
        <v>10367.668</v>
      </c>
      <c r="J17" s="422">
        <v>7133.9665000000005</v>
      </c>
      <c r="K17" s="422">
        <v>8938.6980000000003</v>
      </c>
      <c r="L17" s="422">
        <v>8819.0825000000004</v>
      </c>
      <c r="M17" s="422">
        <v>7610.4120000000003</v>
      </c>
      <c r="N17" s="422">
        <v>6210.674</v>
      </c>
      <c r="O17" s="422">
        <v>5838.8310000000001</v>
      </c>
      <c r="P17" s="422">
        <v>5628.3760000000002</v>
      </c>
      <c r="Q17" s="423">
        <v>5674.3185000000003</v>
      </c>
      <c r="R17" s="423">
        <v>5543.4645</v>
      </c>
      <c r="S17" s="423">
        <v>6232.3985000000002</v>
      </c>
      <c r="T17" s="423">
        <v>7500.2349999999997</v>
      </c>
      <c r="U17" s="423">
        <v>7552.9669999999996</v>
      </c>
      <c r="V17" s="423">
        <v>8301.3114999999998</v>
      </c>
      <c r="W17" s="423">
        <v>9826.3459999999995</v>
      </c>
      <c r="X17" s="424">
        <v>10434.2515</v>
      </c>
    </row>
    <row r="18" spans="1:24" s="107" customFormat="1" x14ac:dyDescent="0.3">
      <c r="A18" s="400" t="s">
        <v>182</v>
      </c>
      <c r="B18" s="425">
        <v>589.995</v>
      </c>
      <c r="C18" s="418">
        <v>559.04449999999997</v>
      </c>
      <c r="D18" s="418">
        <v>565.81600000000003</v>
      </c>
      <c r="E18" s="418">
        <v>622.99699999999996</v>
      </c>
      <c r="F18" s="418">
        <v>661.85350000000005</v>
      </c>
      <c r="G18" s="418">
        <v>696.26099999999997</v>
      </c>
      <c r="H18" s="418">
        <v>694.13900000000001</v>
      </c>
      <c r="I18" s="418">
        <v>736.57650000000001</v>
      </c>
      <c r="J18" s="418">
        <v>801.95550000000003</v>
      </c>
      <c r="K18" s="418">
        <v>768.81050000000005</v>
      </c>
      <c r="L18" s="418">
        <v>862.93899999999996</v>
      </c>
      <c r="M18" s="418">
        <v>905.64649999999995</v>
      </c>
      <c r="N18" s="418">
        <v>922.37</v>
      </c>
      <c r="O18" s="418">
        <v>654.95249999999999</v>
      </c>
      <c r="P18" s="418">
        <v>569.56600000000003</v>
      </c>
      <c r="Q18" s="419">
        <v>503.12900000000002</v>
      </c>
      <c r="R18" s="419">
        <v>566.75250000000005</v>
      </c>
      <c r="S18" s="419">
        <v>614.21849999999995</v>
      </c>
      <c r="T18" s="419">
        <v>645.23950000000002</v>
      </c>
      <c r="U18" s="419">
        <v>622.15800000000002</v>
      </c>
      <c r="V18" s="419">
        <v>824.1</v>
      </c>
      <c r="W18" s="419">
        <v>999.0095</v>
      </c>
      <c r="X18" s="420">
        <v>1085.7885000000001</v>
      </c>
    </row>
    <row r="19" spans="1:24" s="107" customFormat="1" x14ac:dyDescent="0.3">
      <c r="A19" s="400" t="s">
        <v>93</v>
      </c>
      <c r="B19" s="421">
        <v>1360.624</v>
      </c>
      <c r="C19" s="422">
        <v>1321.883</v>
      </c>
      <c r="D19" s="422">
        <v>1361.4525000000001</v>
      </c>
      <c r="E19" s="422">
        <v>1636.097</v>
      </c>
      <c r="F19" s="422">
        <v>1747.1695</v>
      </c>
      <c r="G19" s="422">
        <v>1629.894</v>
      </c>
      <c r="H19" s="422">
        <v>1811.9939999999999</v>
      </c>
      <c r="I19" s="422">
        <v>2103.5645</v>
      </c>
      <c r="J19" s="422">
        <v>2030.203</v>
      </c>
      <c r="K19" s="422">
        <v>2852.0475000000001</v>
      </c>
      <c r="L19" s="422">
        <v>3139.34</v>
      </c>
      <c r="M19" s="422">
        <v>2693.2280000000001</v>
      </c>
      <c r="N19" s="422">
        <v>2548.4564999999998</v>
      </c>
      <c r="O19" s="422">
        <v>2176.886</v>
      </c>
      <c r="P19" s="422">
        <v>1942.4704999999999</v>
      </c>
      <c r="Q19" s="423">
        <v>1763.9965</v>
      </c>
      <c r="R19" s="423">
        <v>2125.884</v>
      </c>
      <c r="S19" s="423">
        <v>2253.4185000000002</v>
      </c>
      <c r="T19" s="423">
        <v>2278.1970000000001</v>
      </c>
      <c r="U19" s="423">
        <v>2788.2779999999998</v>
      </c>
      <c r="V19" s="423">
        <v>2687.2959999999998</v>
      </c>
      <c r="W19" s="423">
        <v>3137.8515000000002</v>
      </c>
      <c r="X19" s="424">
        <v>3590.018</v>
      </c>
    </row>
    <row r="20" spans="1:24" s="107" customFormat="1" x14ac:dyDescent="0.3">
      <c r="A20" s="426" t="s">
        <v>183</v>
      </c>
      <c r="B20" s="427">
        <v>42244.999000000003</v>
      </c>
      <c r="C20" s="427">
        <v>42913.266000000003</v>
      </c>
      <c r="D20" s="427">
        <v>46119</v>
      </c>
      <c r="E20" s="427">
        <v>50074.913500000002</v>
      </c>
      <c r="F20" s="427">
        <v>56042.737000000001</v>
      </c>
      <c r="G20" s="427">
        <v>62788.088000000003</v>
      </c>
      <c r="H20" s="427">
        <v>66949.656000000003</v>
      </c>
      <c r="I20" s="427">
        <v>71529.695000000007</v>
      </c>
      <c r="J20" s="427">
        <v>67306.161500000002</v>
      </c>
      <c r="K20" s="427">
        <v>78664.298999999999</v>
      </c>
      <c r="L20" s="427">
        <v>93669.644499999995</v>
      </c>
      <c r="M20" s="427">
        <v>101364.4175</v>
      </c>
      <c r="N20" s="427">
        <v>98058.396500000003</v>
      </c>
      <c r="O20" s="427">
        <v>92708.308999999994</v>
      </c>
      <c r="P20" s="427">
        <v>85944.517000000007</v>
      </c>
      <c r="Q20" s="427">
        <v>84423.134000000005</v>
      </c>
      <c r="R20" s="427">
        <v>89812.501999999993</v>
      </c>
      <c r="S20" s="427">
        <v>98277.895499999999</v>
      </c>
      <c r="T20" s="427">
        <v>104415.999</v>
      </c>
      <c r="U20" s="427">
        <v>113919.43700000001</v>
      </c>
      <c r="V20" s="427">
        <v>119038.236</v>
      </c>
      <c r="W20" s="427">
        <v>127532.796</v>
      </c>
      <c r="X20" s="428">
        <v>134871.18100000001</v>
      </c>
    </row>
    <row r="21" spans="1:24" s="107" customFormat="1" x14ac:dyDescent="0.3">
      <c r="A21" s="429" t="s">
        <v>184</v>
      </c>
      <c r="B21" s="430">
        <v>538.16250000000002</v>
      </c>
      <c r="C21" s="402">
        <v>495.88049999999998</v>
      </c>
      <c r="D21" s="402">
        <v>525.17550000000006</v>
      </c>
      <c r="E21" s="402">
        <v>790.83249999999998</v>
      </c>
      <c r="F21" s="402">
        <v>833.86149999999998</v>
      </c>
      <c r="G21" s="402">
        <v>1201.2184999999999</v>
      </c>
      <c r="H21" s="402">
        <v>2018.8325</v>
      </c>
      <c r="I21" s="402">
        <v>2418.0075000000002</v>
      </c>
      <c r="J21" s="402">
        <v>2854.5655000000002</v>
      </c>
      <c r="K21" s="402">
        <v>3433.0329999999999</v>
      </c>
      <c r="L21" s="402">
        <v>3953.8874999999998</v>
      </c>
      <c r="M21" s="402">
        <v>2738.8674999999998</v>
      </c>
      <c r="N21" s="402">
        <v>2388.4315000000001</v>
      </c>
      <c r="O21" s="402">
        <v>2022.1320000000001</v>
      </c>
      <c r="P21" s="402">
        <v>1889.8565000000001</v>
      </c>
      <c r="Q21" s="402">
        <v>2065.0844999999999</v>
      </c>
      <c r="R21" s="402">
        <v>2487.8820000000001</v>
      </c>
      <c r="S21" s="402">
        <v>2858.7745</v>
      </c>
      <c r="T21" s="402">
        <v>3354.7310000000002</v>
      </c>
      <c r="U21" s="402">
        <v>4169.6379999999999</v>
      </c>
      <c r="V21" s="402">
        <v>4685.0834999999997</v>
      </c>
      <c r="W21" s="402">
        <v>4205.6925000000001</v>
      </c>
      <c r="X21" s="403">
        <v>4162.6580000000004</v>
      </c>
    </row>
    <row r="22" spans="1:24" s="107" customFormat="1" ht="15" thickBot="1" x14ac:dyDescent="0.35">
      <c r="A22" s="404" t="s">
        <v>185</v>
      </c>
      <c r="B22" s="431">
        <v>42783.161500000002</v>
      </c>
      <c r="C22" s="432">
        <v>43409.146500000003</v>
      </c>
      <c r="D22" s="432">
        <v>46644.175499999998</v>
      </c>
      <c r="E22" s="432">
        <v>50865.745999999999</v>
      </c>
      <c r="F22" s="432">
        <v>56876.5985</v>
      </c>
      <c r="G22" s="432">
        <v>63989.306499999999</v>
      </c>
      <c r="H22" s="432">
        <v>68968.488500000007</v>
      </c>
      <c r="I22" s="432">
        <v>73947.702499999999</v>
      </c>
      <c r="J22" s="432">
        <v>70160.726999999999</v>
      </c>
      <c r="K22" s="432">
        <v>82097.331999999995</v>
      </c>
      <c r="L22" s="432">
        <v>97623.532000000007</v>
      </c>
      <c r="M22" s="432">
        <v>104103.285</v>
      </c>
      <c r="N22" s="432">
        <v>100446.82799999999</v>
      </c>
      <c r="O22" s="432">
        <v>94730.441000000006</v>
      </c>
      <c r="P22" s="432">
        <v>87834.373500000002</v>
      </c>
      <c r="Q22" s="432">
        <v>86488.218500000003</v>
      </c>
      <c r="R22" s="432">
        <v>92300.384000000005</v>
      </c>
      <c r="S22" s="432">
        <v>101136.67</v>
      </c>
      <c r="T22" s="433">
        <v>107770.73</v>
      </c>
      <c r="U22" s="432">
        <v>118089.075</v>
      </c>
      <c r="V22" s="432">
        <v>123723.3195</v>
      </c>
      <c r="W22" s="432">
        <v>131738.48850000001</v>
      </c>
      <c r="X22" s="434">
        <v>139033.83900000001</v>
      </c>
    </row>
    <row r="23" spans="1:24" x14ac:dyDescent="0.3">
      <c r="C23" s="28"/>
      <c r="D23" s="28"/>
      <c r="E23" s="28"/>
      <c r="F23" s="28"/>
      <c r="G23" s="28"/>
      <c r="H23" s="28"/>
      <c r="I23" s="28"/>
      <c r="J23" s="28"/>
      <c r="K23" s="28"/>
      <c r="L23" s="28"/>
      <c r="M23" s="28"/>
      <c r="N23" s="28"/>
      <c r="O23" s="28"/>
      <c r="P23" s="28"/>
      <c r="Q23" s="28"/>
    </row>
    <row r="24" spans="1:24" x14ac:dyDescent="0.3">
      <c r="A24" s="409" t="s">
        <v>186</v>
      </c>
      <c r="C24" s="435"/>
      <c r="D24" s="435"/>
      <c r="E24" s="435"/>
      <c r="F24" s="435"/>
      <c r="G24" s="435"/>
      <c r="H24" s="435"/>
      <c r="I24" s="435"/>
      <c r="J24" s="435"/>
      <c r="K24" s="435"/>
      <c r="L24" s="435"/>
      <c r="M24" s="435"/>
      <c r="N24" s="435"/>
      <c r="O24" s="435"/>
      <c r="P24" s="435"/>
      <c r="Q24" s="435"/>
    </row>
    <row r="49" spans="15:24" ht="15" thickBot="1" x14ac:dyDescent="0.35"/>
    <row r="50" spans="15:24" ht="15" thickBot="1" x14ac:dyDescent="0.35">
      <c r="O50" s="624" t="s">
        <v>187</v>
      </c>
      <c r="P50" s="625"/>
      <c r="Q50" s="625"/>
      <c r="R50" s="625"/>
      <c r="S50" s="626"/>
    </row>
    <row r="51" spans="15:24" ht="15" thickBot="1" x14ac:dyDescent="0.35">
      <c r="O51" s="627" t="s">
        <v>185</v>
      </c>
      <c r="P51" s="628"/>
      <c r="Q51" s="628"/>
      <c r="R51" s="628"/>
      <c r="S51" s="629"/>
      <c r="X51" s="68" t="str">
        <f>CONCATENATE(O51, CHAR(10), " Last 10 Financial Years")</f>
        <v>Total Mining and Mineral Exploration
 Last 10 Financial Years</v>
      </c>
    </row>
    <row r="52" spans="15:24" ht="0.15" customHeight="1" x14ac:dyDescent="0.3"/>
    <row r="53" spans="15:24" x14ac:dyDescent="0.3">
      <c r="O53" s="630" t="s">
        <v>188</v>
      </c>
      <c r="P53" s="630"/>
      <c r="Q53" s="630"/>
      <c r="R53" s="630"/>
      <c r="S53" s="630"/>
    </row>
    <row r="90" spans="12:26" x14ac:dyDescent="0.3">
      <c r="L90" s="3"/>
      <c r="M90" s="3"/>
      <c r="N90" s="3"/>
      <c r="O90" s="3"/>
      <c r="P90" s="3"/>
      <c r="Q90" s="3"/>
      <c r="R90" s="3"/>
      <c r="S90" s="3"/>
      <c r="T90" s="3"/>
      <c r="U90" s="3"/>
      <c r="V90" s="3"/>
      <c r="W90" s="3"/>
      <c r="X90" s="3"/>
      <c r="Y90" s="3"/>
      <c r="Z90" s="3"/>
    </row>
    <row r="91" spans="12:26" x14ac:dyDescent="0.3">
      <c r="L91" s="3"/>
      <c r="M91" s="3"/>
      <c r="N91" s="3"/>
      <c r="O91" s="3"/>
      <c r="P91" s="3"/>
      <c r="Q91" s="3"/>
      <c r="R91" s="3"/>
      <c r="S91" s="3"/>
      <c r="T91" s="3"/>
      <c r="U91" s="3"/>
      <c r="V91" s="3"/>
      <c r="W91" s="3"/>
      <c r="X91" s="3"/>
      <c r="Y91" s="3"/>
      <c r="Z91" s="3"/>
    </row>
    <row r="92" spans="12:26" x14ac:dyDescent="0.3">
      <c r="L92" s="3"/>
      <c r="M92" s="3"/>
      <c r="N92" s="3"/>
      <c r="O92" s="3"/>
      <c r="P92" s="3"/>
      <c r="Q92" s="3"/>
      <c r="R92" s="3"/>
      <c r="S92" s="3"/>
      <c r="T92" s="3"/>
      <c r="U92" s="3"/>
      <c r="V92" s="3"/>
      <c r="W92" s="3"/>
      <c r="X92" s="3"/>
      <c r="Y92" s="3"/>
      <c r="Z92" s="3"/>
    </row>
    <row r="93" spans="12:26" x14ac:dyDescent="0.3">
      <c r="L93" s="3"/>
      <c r="M93" s="3"/>
      <c r="N93" s="3"/>
      <c r="O93" s="3"/>
      <c r="P93" s="3"/>
      <c r="Q93" s="3"/>
      <c r="R93" s="3"/>
      <c r="S93" s="3"/>
      <c r="T93" s="3"/>
      <c r="U93" s="3"/>
      <c r="V93" s="3"/>
      <c r="W93" s="3"/>
      <c r="X93" s="3"/>
      <c r="Y93" s="3"/>
      <c r="Z93" s="3"/>
    </row>
    <row r="94" spans="12:26" x14ac:dyDescent="0.3">
      <c r="L94" s="3"/>
      <c r="M94" s="3"/>
      <c r="N94" s="3"/>
      <c r="O94" s="3"/>
      <c r="P94" s="3"/>
      <c r="Q94" s="3"/>
      <c r="R94" s="3"/>
      <c r="S94" s="3"/>
      <c r="T94" s="3"/>
      <c r="U94" s="3"/>
      <c r="V94" s="3"/>
      <c r="W94" s="3"/>
      <c r="X94" s="3"/>
      <c r="Y94" s="3"/>
      <c r="Z94" s="3"/>
    </row>
    <row r="95" spans="12:26" s="411" customFormat="1" ht="10.199999999999999" x14ac:dyDescent="0.2"/>
    <row r="96" spans="12:26" s="411" customFormat="1" ht="10.199999999999999" x14ac:dyDescent="0.2"/>
    <row r="97" spans="1:23" s="411" customFormat="1" ht="10.199999999999999" x14ac:dyDescent="0.2"/>
    <row r="98" spans="1:23" s="411" customFormat="1" ht="10.199999999999999" x14ac:dyDescent="0.2"/>
    <row r="99" spans="1:23" s="436" customFormat="1" ht="13.8" x14ac:dyDescent="0.3"/>
    <row r="100" spans="1:23" s="411" customFormat="1" ht="10.199999999999999" x14ac:dyDescent="0.2">
      <c r="A100" s="437"/>
    </row>
    <row r="101" spans="1:23" s="411" customFormat="1" ht="10.199999999999999" x14ac:dyDescent="0.2">
      <c r="A101" s="437"/>
      <c r="N101" s="411" t="str">
        <f>INDEX($B$7:$BD$7,1,MATCH(LARGE($B$2:$BC$2,10),$B$2:$BC$2,0))</f>
        <v>2014-15</v>
      </c>
      <c r="O101" s="411" t="str">
        <f>INDEX($B$7:$BD$7,1,MATCH(LARGE($B$2:$BC$2,9),$B$2:$BC$2,0))</f>
        <v>2015-16</v>
      </c>
      <c r="P101" s="411" t="str">
        <f>INDEX($B$7:$BD$7,1,MATCH(LARGE($B$2:$BC$2,8),$B$2:$BC$2,0))</f>
        <v>2016-17</v>
      </c>
      <c r="Q101" s="411" t="str">
        <f>INDEX($B$7:$BD$7,1,MATCH(LARGE($B$2:$BC$2,7),$B$2:$BC$2,0))</f>
        <v>2017-18</v>
      </c>
      <c r="R101" s="411" t="str">
        <f>INDEX($B$7:$BD$7,1,MATCH(LARGE($B$2:$BC$2,6),$B$2:$BC$2,0))</f>
        <v>2018-19</v>
      </c>
      <c r="S101" s="411" t="str">
        <f>INDEX($B$7:$BD$7,1,MATCH(LARGE($B$2:$BC$2,5),$B$2:$BC$2,0))</f>
        <v>2019-20</v>
      </c>
      <c r="T101" s="411" t="str">
        <f>INDEX($B$7:$BD$7,1,MATCH(LARGE($B$2:$BC$2,4),$B$2:$BC$2,0))</f>
        <v>2020-21</v>
      </c>
      <c r="U101" s="411" t="str">
        <f>INDEX($B$7:$BD$7,1,MATCH(LARGE($B$2:$BC$2,3),$B$2:$BC$2,0))</f>
        <v>2021-22</v>
      </c>
      <c r="V101" s="411" t="str">
        <f>INDEX($B$7:$BD$7,1,MATCH(LARGE($B$2:$BC$2,2),$B$2:$BC$2,0))</f>
        <v>2022-23</v>
      </c>
      <c r="W101" s="411" t="str">
        <f>INDEX($B$7:$BD$7,1,MATCH(LARGE($B$2:$BC$2,1),$B$2:$BC$2,0))</f>
        <v>2023-24</v>
      </c>
    </row>
    <row r="102" spans="1:23" s="411" customFormat="1" ht="10.199999999999999" x14ac:dyDescent="0.2">
      <c r="N102" s="411">
        <f ca="1">INDEX($B$1:$BC$1,1,MATCH(LARGE($B$2:$BC$2,10),$B$2:$BC$2,0))</f>
        <v>94730.441000000006</v>
      </c>
      <c r="O102" s="411">
        <f ca="1">INDEX($B$1:$BC$1,1,MATCH(LARGE($B$2:$BC$2,9),$B$2:$BC$2,0))</f>
        <v>87834.373500000002</v>
      </c>
      <c r="P102" s="411">
        <f ca="1">INDEX($B$1:$BC$1,1,MATCH(LARGE($B$2:$BC$2,8),$B$2:$BC$2,0))</f>
        <v>86488.218500000003</v>
      </c>
      <c r="Q102" s="411">
        <f ca="1">INDEX($B$1:$BC$1,1,MATCH(LARGE($B$2:$BC$2,7),$B$2:$BC$2,0))</f>
        <v>92300.384000000005</v>
      </c>
      <c r="R102" s="411">
        <f ca="1">INDEX($B$1:$BC$1,1,MATCH(LARGE($B$2:$BC$2,6),$B$2:$BC$2,0))</f>
        <v>101136.67</v>
      </c>
      <c r="S102" s="411">
        <f ca="1">INDEX($B$1:$BC$1,1,MATCH(LARGE($B$2:$BC$2,5),$B$2:$BC$2,0))</f>
        <v>107770.73</v>
      </c>
      <c r="T102" s="411">
        <f ca="1">INDEX($B$1:$BC$1,1,MATCH(LARGE($B$2:$BC$2,4),$B$2:$BC$2,0))</f>
        <v>118089.075</v>
      </c>
      <c r="U102" s="411">
        <f ca="1">INDEX($B$1:$BC$1,1,MATCH(LARGE($B$2:$BC$2,3),$B$2:$BC$2,0))</f>
        <v>123723.3195</v>
      </c>
      <c r="V102" s="411">
        <f ca="1">INDEX($B$1:$BC$1,1,MATCH(LARGE($B$2:$BC$2,2),$B$2:$BC$2,0))</f>
        <v>131738.48850000001</v>
      </c>
      <c r="W102" s="411">
        <f ca="1">INDEX($B$1:$BC$1,1,MATCH(LARGE($B$2:$BC$2,1),$B$2:$BC$2,0))</f>
        <v>139033.83900000001</v>
      </c>
    </row>
    <row r="103" spans="1:23" s="286" customFormat="1" ht="13.8" x14ac:dyDescent="0.3"/>
    <row r="104" spans="1:23" s="436" customFormat="1" ht="13.8" x14ac:dyDescent="0.3"/>
    <row r="105" spans="1:23" s="436" customFormat="1" ht="13.8" x14ac:dyDescent="0.3"/>
    <row r="106" spans="1:23" s="436" customFormat="1" ht="13.8" x14ac:dyDescent="0.3"/>
    <row r="107" spans="1:23" s="436" customFormat="1" ht="13.8" x14ac:dyDescent="0.3"/>
    <row r="108" spans="1:23" s="436" customFormat="1" ht="13.8" x14ac:dyDescent="0.3"/>
    <row r="109" spans="1:23" s="436" customFormat="1" ht="13.8" x14ac:dyDescent="0.3"/>
    <row r="110" spans="1:23" s="436" customFormat="1" ht="13.8" x14ac:dyDescent="0.3"/>
    <row r="111" spans="1:23" s="436" customFormat="1" ht="13.8" x14ac:dyDescent="0.3"/>
    <row r="112" spans="1:23" s="436" customFormat="1" ht="13.8" x14ac:dyDescent="0.3"/>
    <row r="113" s="436" customFormat="1" ht="13.8" x14ac:dyDescent="0.3"/>
    <row r="114" s="436" customFormat="1" ht="13.8" x14ac:dyDescent="0.3"/>
    <row r="115" s="436" customFormat="1" ht="13.8" x14ac:dyDescent="0.3"/>
    <row r="116" s="436" customFormat="1" ht="13.8" x14ac:dyDescent="0.3"/>
    <row r="117" s="436" customFormat="1" ht="13.8" x14ac:dyDescent="0.3"/>
    <row r="118" s="436" customFormat="1" ht="13.8" x14ac:dyDescent="0.3"/>
    <row r="119" s="438" customFormat="1" ht="13.8" x14ac:dyDescent="0.3"/>
  </sheetData>
  <mergeCells count="3">
    <mergeCell ref="O50:S50"/>
    <mergeCell ref="O51:S51"/>
    <mergeCell ref="O53:S53"/>
  </mergeCells>
  <dataValidations xWindow="1589" yWindow="904" count="1">
    <dataValidation type="list" allowBlank="1" showInputMessage="1" showErrorMessage="1" promptTitle="Select a Commodity" prompt="Select a Commodity for graphical display, or total employment." sqref="O51:S51" xr:uid="{38EDCB4A-9B4E-412E-9B3A-9FE779A5ACAC}">
      <formula1>$A$8:$A$22</formula1>
    </dataValidation>
  </dataValidation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045EB-E044-4443-9D3D-F2538923BD39}">
  <sheetPr codeName="Sheet18"/>
  <dimension ref="A1:YS224"/>
  <sheetViews>
    <sheetView showGridLines="0" zoomScale="85" zoomScaleNormal="85" workbookViewId="0">
      <pane xSplit="1" topLeftCell="B1" activePane="topRight" state="frozen"/>
      <selection pane="topRight"/>
    </sheetView>
  </sheetViews>
  <sheetFormatPr defaultColWidth="9.109375" defaultRowHeight="14.4" x14ac:dyDescent="0.3"/>
  <cols>
    <col min="1" max="1" width="46.6640625" bestFit="1" customWidth="1"/>
    <col min="2" max="247" width="8.6640625" customWidth="1"/>
    <col min="248" max="248" width="8.6640625" style="107" customWidth="1"/>
    <col min="249" max="265" width="8.6640625" customWidth="1"/>
    <col min="266" max="267" width="9.109375" style="107"/>
  </cols>
  <sheetData>
    <row r="1" spans="1:519" s="411" customFormat="1" ht="15.75" customHeight="1" x14ac:dyDescent="0.3">
      <c r="JF1" s="603"/>
      <c r="JG1" s="107"/>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row>
    <row r="2" spans="1:519" s="411" customFormat="1" ht="15.75" customHeight="1" x14ac:dyDescent="0.3">
      <c r="JF2" s="603"/>
      <c r="JG2" s="603"/>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row>
    <row r="3" spans="1:519" s="413" customFormat="1" ht="15.75" customHeight="1" x14ac:dyDescent="0.3">
      <c r="JF3" s="107"/>
      <c r="JG3" s="107"/>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row>
    <row r="4" spans="1:519" s="413" customFormat="1" ht="15.75" customHeight="1" x14ac:dyDescent="0.3">
      <c r="HQ4" s="439"/>
      <c r="JF4" s="107"/>
      <c r="JG4" s="107"/>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row>
    <row r="5" spans="1:519" s="413" customFormat="1" ht="15.75" customHeight="1" x14ac:dyDescent="0.3">
      <c r="JF5" s="107"/>
      <c r="JG5" s="107"/>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row>
    <row r="6" spans="1:519" s="413" customFormat="1" x14ac:dyDescent="0.3">
      <c r="JF6" s="107"/>
      <c r="JG6" s="107"/>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row>
    <row r="7" spans="1:519" s="3" customFormat="1" x14ac:dyDescent="0.3">
      <c r="IN7" s="107"/>
      <c r="JF7" s="107"/>
      <c r="JG7" s="10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row>
    <row r="8" spans="1:519" s="3" customFormat="1" ht="15" thickBot="1" x14ac:dyDescent="0.35">
      <c r="A8" s="108" t="s">
        <v>192</v>
      </c>
      <c r="IN8" s="107"/>
      <c r="JF8" s="107"/>
      <c r="JG8" s="107"/>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row>
    <row r="9" spans="1:519" x14ac:dyDescent="0.3">
      <c r="A9" s="388" t="s">
        <v>82</v>
      </c>
      <c r="B9" s="440">
        <v>36892</v>
      </c>
      <c r="C9" s="440">
        <v>36923</v>
      </c>
      <c r="D9" s="440">
        <v>36951</v>
      </c>
      <c r="E9" s="440">
        <v>36982</v>
      </c>
      <c r="F9" s="440">
        <v>37012</v>
      </c>
      <c r="G9" s="440">
        <v>37043</v>
      </c>
      <c r="H9" s="440">
        <v>37073</v>
      </c>
      <c r="I9" s="440">
        <v>37104</v>
      </c>
      <c r="J9" s="440">
        <v>37135</v>
      </c>
      <c r="K9" s="440">
        <v>37165</v>
      </c>
      <c r="L9" s="440">
        <v>37196</v>
      </c>
      <c r="M9" s="440">
        <v>37226</v>
      </c>
      <c r="N9" s="440">
        <v>37257</v>
      </c>
      <c r="O9" s="440">
        <v>37288</v>
      </c>
      <c r="P9" s="440">
        <v>37316</v>
      </c>
      <c r="Q9" s="440">
        <v>37347</v>
      </c>
      <c r="R9" s="440">
        <v>37377</v>
      </c>
      <c r="S9" s="440">
        <v>37408</v>
      </c>
      <c r="T9" s="440">
        <v>37438</v>
      </c>
      <c r="U9" s="440">
        <v>37469</v>
      </c>
      <c r="V9" s="440">
        <v>37500</v>
      </c>
      <c r="W9" s="440">
        <v>37530</v>
      </c>
      <c r="X9" s="440">
        <v>37561</v>
      </c>
      <c r="Y9" s="440">
        <v>37591</v>
      </c>
      <c r="Z9" s="440">
        <v>37622</v>
      </c>
      <c r="AA9" s="440">
        <v>37653</v>
      </c>
      <c r="AB9" s="440">
        <v>37681</v>
      </c>
      <c r="AC9" s="440">
        <v>37712</v>
      </c>
      <c r="AD9" s="440">
        <v>37742</v>
      </c>
      <c r="AE9" s="440">
        <v>37773</v>
      </c>
      <c r="AF9" s="440">
        <v>37803</v>
      </c>
      <c r="AG9" s="440">
        <v>37834</v>
      </c>
      <c r="AH9" s="440">
        <v>37865</v>
      </c>
      <c r="AI9" s="440">
        <v>37895</v>
      </c>
      <c r="AJ9" s="440">
        <v>37926</v>
      </c>
      <c r="AK9" s="440">
        <v>37956</v>
      </c>
      <c r="AL9" s="440">
        <v>37987</v>
      </c>
      <c r="AM9" s="440">
        <v>38018</v>
      </c>
      <c r="AN9" s="440">
        <v>38047</v>
      </c>
      <c r="AO9" s="440">
        <v>38078</v>
      </c>
      <c r="AP9" s="440">
        <v>38108</v>
      </c>
      <c r="AQ9" s="440">
        <v>38139</v>
      </c>
      <c r="AR9" s="440">
        <v>38169</v>
      </c>
      <c r="AS9" s="440">
        <v>38200</v>
      </c>
      <c r="AT9" s="440">
        <v>38231</v>
      </c>
      <c r="AU9" s="440">
        <v>38261</v>
      </c>
      <c r="AV9" s="440">
        <v>38292</v>
      </c>
      <c r="AW9" s="440">
        <v>38322</v>
      </c>
      <c r="AX9" s="440">
        <v>38353</v>
      </c>
      <c r="AY9" s="440">
        <v>38384</v>
      </c>
      <c r="AZ9" s="440">
        <v>38412</v>
      </c>
      <c r="BA9" s="440">
        <v>38443</v>
      </c>
      <c r="BB9" s="440">
        <v>38473</v>
      </c>
      <c r="BC9" s="440">
        <v>38504</v>
      </c>
      <c r="BD9" s="440">
        <v>38534</v>
      </c>
      <c r="BE9" s="440">
        <v>38565</v>
      </c>
      <c r="BF9" s="440">
        <v>38596</v>
      </c>
      <c r="BG9" s="440">
        <v>38626</v>
      </c>
      <c r="BH9" s="440">
        <v>38657</v>
      </c>
      <c r="BI9" s="440">
        <v>38687</v>
      </c>
      <c r="BJ9" s="440">
        <v>38718</v>
      </c>
      <c r="BK9" s="440">
        <v>38749</v>
      </c>
      <c r="BL9" s="440">
        <v>38777</v>
      </c>
      <c r="BM9" s="440">
        <v>38808</v>
      </c>
      <c r="BN9" s="440">
        <v>38838</v>
      </c>
      <c r="BO9" s="440">
        <v>38869</v>
      </c>
      <c r="BP9" s="440">
        <v>38899</v>
      </c>
      <c r="BQ9" s="440">
        <v>38930</v>
      </c>
      <c r="BR9" s="440">
        <v>38961</v>
      </c>
      <c r="BS9" s="440">
        <v>38991</v>
      </c>
      <c r="BT9" s="440">
        <v>39022</v>
      </c>
      <c r="BU9" s="440">
        <v>39052</v>
      </c>
      <c r="BV9" s="440">
        <v>39083</v>
      </c>
      <c r="BW9" s="440">
        <v>39114</v>
      </c>
      <c r="BX9" s="440">
        <v>39142</v>
      </c>
      <c r="BY9" s="440">
        <v>39173</v>
      </c>
      <c r="BZ9" s="440">
        <v>39203</v>
      </c>
      <c r="CA9" s="440">
        <v>39234</v>
      </c>
      <c r="CB9" s="440">
        <v>39264</v>
      </c>
      <c r="CC9" s="440">
        <v>39295</v>
      </c>
      <c r="CD9" s="440">
        <v>39326</v>
      </c>
      <c r="CE9" s="440">
        <v>39356</v>
      </c>
      <c r="CF9" s="441">
        <v>39387</v>
      </c>
      <c r="CG9" s="441">
        <v>39417</v>
      </c>
      <c r="CH9" s="441">
        <v>39448</v>
      </c>
      <c r="CI9" s="441">
        <v>39479</v>
      </c>
      <c r="CJ9" s="441">
        <v>39508</v>
      </c>
      <c r="CK9" s="441">
        <v>39539</v>
      </c>
      <c r="CL9" s="441">
        <v>39569</v>
      </c>
      <c r="CM9" s="441">
        <v>39600</v>
      </c>
      <c r="CN9" s="441">
        <v>39630</v>
      </c>
      <c r="CO9" s="441">
        <v>39661</v>
      </c>
      <c r="CP9" s="441">
        <v>39692</v>
      </c>
      <c r="CQ9" s="441">
        <v>39722</v>
      </c>
      <c r="CR9" s="441">
        <v>39753</v>
      </c>
      <c r="CS9" s="441">
        <v>39783</v>
      </c>
      <c r="CT9" s="441">
        <v>39814</v>
      </c>
      <c r="CU9" s="441">
        <v>39845</v>
      </c>
      <c r="CV9" s="441">
        <v>39873</v>
      </c>
      <c r="CW9" s="441">
        <v>39904</v>
      </c>
      <c r="CX9" s="441">
        <v>39934</v>
      </c>
      <c r="CY9" s="441">
        <v>39965</v>
      </c>
      <c r="CZ9" s="441">
        <v>39995</v>
      </c>
      <c r="DA9" s="441">
        <v>40026</v>
      </c>
      <c r="DB9" s="441">
        <v>40057</v>
      </c>
      <c r="DC9" s="441">
        <v>40087</v>
      </c>
      <c r="DD9" s="441">
        <v>40118</v>
      </c>
      <c r="DE9" s="441">
        <v>40148</v>
      </c>
      <c r="DF9" s="441">
        <v>40179</v>
      </c>
      <c r="DG9" s="441">
        <v>40210</v>
      </c>
      <c r="DH9" s="441">
        <v>40238</v>
      </c>
      <c r="DI9" s="441">
        <v>40269</v>
      </c>
      <c r="DJ9" s="441">
        <v>40299</v>
      </c>
      <c r="DK9" s="441">
        <v>40330</v>
      </c>
      <c r="DL9" s="441">
        <v>40360</v>
      </c>
      <c r="DM9" s="441">
        <v>40391</v>
      </c>
      <c r="DN9" s="441">
        <v>40422</v>
      </c>
      <c r="DO9" s="441">
        <v>40452</v>
      </c>
      <c r="DP9" s="441">
        <v>40483</v>
      </c>
      <c r="DQ9" s="441">
        <v>40513</v>
      </c>
      <c r="DR9" s="441">
        <v>40544</v>
      </c>
      <c r="DS9" s="441">
        <v>40575</v>
      </c>
      <c r="DT9" s="441">
        <v>40603</v>
      </c>
      <c r="DU9" s="441">
        <v>40634</v>
      </c>
      <c r="DV9" s="441">
        <v>40664</v>
      </c>
      <c r="DW9" s="441">
        <v>40695</v>
      </c>
      <c r="DX9" s="441">
        <v>40725</v>
      </c>
      <c r="DY9" s="441">
        <v>40756</v>
      </c>
      <c r="DZ9" s="441">
        <v>40787</v>
      </c>
      <c r="EA9" s="441">
        <v>40817</v>
      </c>
      <c r="EB9" s="441">
        <v>40848</v>
      </c>
      <c r="EC9" s="441">
        <v>40878</v>
      </c>
      <c r="ED9" s="441">
        <v>40909</v>
      </c>
      <c r="EE9" s="441">
        <v>40940</v>
      </c>
      <c r="EF9" s="441">
        <v>40969</v>
      </c>
      <c r="EG9" s="441">
        <v>41000</v>
      </c>
      <c r="EH9" s="441">
        <v>41030</v>
      </c>
      <c r="EI9" s="441">
        <v>41061</v>
      </c>
      <c r="EJ9" s="441">
        <v>41091</v>
      </c>
      <c r="EK9" s="441">
        <v>41122</v>
      </c>
      <c r="EL9" s="441">
        <v>41153</v>
      </c>
      <c r="EM9" s="441">
        <v>41183</v>
      </c>
      <c r="EN9" s="441">
        <v>41214</v>
      </c>
      <c r="EO9" s="441">
        <v>41244</v>
      </c>
      <c r="EP9" s="441">
        <v>41275</v>
      </c>
      <c r="EQ9" s="441">
        <v>41306</v>
      </c>
      <c r="ER9" s="441">
        <v>41334</v>
      </c>
      <c r="ES9" s="441">
        <v>41365</v>
      </c>
      <c r="ET9" s="441">
        <v>41395</v>
      </c>
      <c r="EU9" s="441">
        <v>41426</v>
      </c>
      <c r="EV9" s="441">
        <v>41456</v>
      </c>
      <c r="EW9" s="441">
        <v>41487</v>
      </c>
      <c r="EX9" s="441">
        <v>41518</v>
      </c>
      <c r="EY9" s="441">
        <v>41548</v>
      </c>
      <c r="EZ9" s="441">
        <v>41579</v>
      </c>
      <c r="FA9" s="441">
        <v>41609</v>
      </c>
      <c r="FB9" s="441">
        <v>41640</v>
      </c>
      <c r="FC9" s="441">
        <v>41671</v>
      </c>
      <c r="FD9" s="441">
        <v>41699</v>
      </c>
      <c r="FE9" s="441">
        <v>41730</v>
      </c>
      <c r="FF9" s="441">
        <v>41760</v>
      </c>
      <c r="FG9" s="441">
        <v>41791</v>
      </c>
      <c r="FH9" s="441">
        <v>41821</v>
      </c>
      <c r="FI9" s="441">
        <v>41852</v>
      </c>
      <c r="FJ9" s="441">
        <v>41883</v>
      </c>
      <c r="FK9" s="441">
        <v>41913</v>
      </c>
      <c r="FL9" s="441">
        <v>41944</v>
      </c>
      <c r="FM9" s="441">
        <v>41974</v>
      </c>
      <c r="FN9" s="441">
        <v>42005</v>
      </c>
      <c r="FO9" s="441">
        <v>42036</v>
      </c>
      <c r="FP9" s="441">
        <v>42064</v>
      </c>
      <c r="FQ9" s="441">
        <v>42095</v>
      </c>
      <c r="FR9" s="441">
        <v>42125</v>
      </c>
      <c r="FS9" s="441">
        <v>42156</v>
      </c>
      <c r="FT9" s="441">
        <v>42186</v>
      </c>
      <c r="FU9" s="441">
        <v>42217</v>
      </c>
      <c r="FV9" s="441">
        <v>42248</v>
      </c>
      <c r="FW9" s="441">
        <v>42278</v>
      </c>
      <c r="FX9" s="441">
        <v>42309</v>
      </c>
      <c r="FY9" s="441">
        <v>42339</v>
      </c>
      <c r="FZ9" s="441">
        <v>42370</v>
      </c>
      <c r="GA9" s="441">
        <v>42401</v>
      </c>
      <c r="GB9" s="441">
        <v>42430</v>
      </c>
      <c r="GC9" s="441">
        <v>42461</v>
      </c>
      <c r="GD9" s="441">
        <v>42491</v>
      </c>
      <c r="GE9" s="441">
        <v>42522</v>
      </c>
      <c r="GF9" s="441">
        <v>42552</v>
      </c>
      <c r="GG9" s="441">
        <v>42583</v>
      </c>
      <c r="GH9" s="441">
        <v>42614</v>
      </c>
      <c r="GI9" s="441">
        <v>42644</v>
      </c>
      <c r="GJ9" s="441">
        <v>42675</v>
      </c>
      <c r="GK9" s="441">
        <v>42705</v>
      </c>
      <c r="GL9" s="441">
        <v>42736</v>
      </c>
      <c r="GM9" s="441">
        <v>42767</v>
      </c>
      <c r="GN9" s="441">
        <v>42795</v>
      </c>
      <c r="GO9" s="441">
        <v>42826</v>
      </c>
      <c r="GP9" s="441">
        <v>42856</v>
      </c>
      <c r="GQ9" s="441">
        <v>42887</v>
      </c>
      <c r="GR9" s="441">
        <v>42917</v>
      </c>
      <c r="GS9" s="441">
        <v>42948</v>
      </c>
      <c r="GT9" s="441">
        <v>42979</v>
      </c>
      <c r="GU9" s="441">
        <v>43009</v>
      </c>
      <c r="GV9" s="441">
        <v>43040</v>
      </c>
      <c r="GW9" s="441">
        <v>43070</v>
      </c>
      <c r="GX9" s="441">
        <v>43101</v>
      </c>
      <c r="GY9" s="441">
        <v>43132</v>
      </c>
      <c r="GZ9" s="441">
        <v>43160</v>
      </c>
      <c r="HA9" s="441">
        <v>43191</v>
      </c>
      <c r="HB9" s="441">
        <v>43221</v>
      </c>
      <c r="HC9" s="441">
        <v>43252</v>
      </c>
      <c r="HD9" s="441">
        <v>43282</v>
      </c>
      <c r="HE9" s="441">
        <v>43313</v>
      </c>
      <c r="HF9" s="441">
        <v>43344</v>
      </c>
      <c r="HG9" s="441">
        <v>43374</v>
      </c>
      <c r="HH9" s="441">
        <v>43405</v>
      </c>
      <c r="HI9" s="441">
        <v>43435</v>
      </c>
      <c r="HJ9" s="441">
        <v>43466</v>
      </c>
      <c r="HK9" s="441">
        <v>43497</v>
      </c>
      <c r="HL9" s="441">
        <v>43525</v>
      </c>
      <c r="HM9" s="441">
        <v>43556</v>
      </c>
      <c r="HN9" s="441">
        <v>43586</v>
      </c>
      <c r="HO9" s="441">
        <v>43617</v>
      </c>
      <c r="HP9" s="441">
        <v>43647</v>
      </c>
      <c r="HQ9" s="441">
        <v>43678</v>
      </c>
      <c r="HR9" s="441">
        <v>43709</v>
      </c>
      <c r="HS9" s="441">
        <v>43739</v>
      </c>
      <c r="HT9" s="441">
        <v>43770</v>
      </c>
      <c r="HU9" s="441">
        <v>43800</v>
      </c>
      <c r="HV9" s="441">
        <v>43831</v>
      </c>
      <c r="HW9" s="441">
        <v>43862</v>
      </c>
      <c r="HX9" s="441">
        <v>43891</v>
      </c>
      <c r="HY9" s="441">
        <v>43922</v>
      </c>
      <c r="HZ9" s="441">
        <v>43952</v>
      </c>
      <c r="IA9" s="441">
        <v>43983</v>
      </c>
      <c r="IB9" s="441">
        <v>44013</v>
      </c>
      <c r="IC9" s="441">
        <v>44044</v>
      </c>
      <c r="ID9" s="441">
        <v>44075</v>
      </c>
      <c r="IE9" s="441">
        <v>44105</v>
      </c>
      <c r="IF9" s="441">
        <v>44136</v>
      </c>
      <c r="IG9" s="441">
        <v>44166</v>
      </c>
      <c r="IH9" s="441">
        <v>44197</v>
      </c>
      <c r="II9" s="441">
        <v>44228</v>
      </c>
      <c r="IJ9" s="441">
        <v>44256</v>
      </c>
      <c r="IK9" s="441">
        <v>44287</v>
      </c>
      <c r="IL9" s="441">
        <v>44317</v>
      </c>
      <c r="IM9" s="441">
        <v>44348</v>
      </c>
      <c r="IN9" s="441">
        <v>44378</v>
      </c>
      <c r="IO9" s="441">
        <v>44409</v>
      </c>
      <c r="IP9" s="441">
        <v>44440</v>
      </c>
      <c r="IQ9" s="441">
        <v>44470</v>
      </c>
      <c r="IR9" s="441">
        <v>44501</v>
      </c>
      <c r="IS9" s="441">
        <v>44531</v>
      </c>
      <c r="IT9" s="441">
        <v>44562</v>
      </c>
      <c r="IU9" s="441">
        <v>44593</v>
      </c>
      <c r="IV9" s="441">
        <v>44621</v>
      </c>
      <c r="IW9" s="442">
        <v>44713</v>
      </c>
      <c r="IX9" s="442">
        <v>44805</v>
      </c>
      <c r="IY9" s="442">
        <v>44896</v>
      </c>
      <c r="IZ9" s="442">
        <v>44986</v>
      </c>
      <c r="JA9" s="442">
        <v>45078</v>
      </c>
      <c r="JB9" s="442">
        <v>45170</v>
      </c>
      <c r="JC9" s="442">
        <v>45261</v>
      </c>
      <c r="JD9" s="442">
        <v>45352</v>
      </c>
      <c r="JE9" s="443">
        <v>45444</v>
      </c>
    </row>
    <row r="10" spans="1:519" x14ac:dyDescent="0.3">
      <c r="A10" s="394" t="s">
        <v>85</v>
      </c>
      <c r="B10" s="392">
        <v>4530.8580000000002</v>
      </c>
      <c r="C10" s="392">
        <v>4546.2719999999999</v>
      </c>
      <c r="D10" s="392">
        <v>4539.7259999999997</v>
      </c>
      <c r="E10" s="392">
        <v>4546.3979999999992</v>
      </c>
      <c r="F10" s="392">
        <v>4615.4279999999999</v>
      </c>
      <c r="G10" s="392">
        <v>4588.7460000000001</v>
      </c>
      <c r="H10" s="392">
        <v>4615.4519999999993</v>
      </c>
      <c r="I10" s="392">
        <v>4812.7080000000005</v>
      </c>
      <c r="J10" s="392">
        <v>4628.5680000000002</v>
      </c>
      <c r="K10" s="392">
        <v>4675.74</v>
      </c>
      <c r="L10" s="392">
        <v>4618.2000000000007</v>
      </c>
      <c r="M10" s="392">
        <v>4978.2000000000007</v>
      </c>
      <c r="N10" s="392">
        <v>4662.93</v>
      </c>
      <c r="O10" s="392">
        <v>4589.3520000000008</v>
      </c>
      <c r="P10" s="392">
        <v>4679.2380000000003</v>
      </c>
      <c r="Q10" s="392">
        <v>4647.0599999999995</v>
      </c>
      <c r="R10" s="392">
        <v>4732.9319999999998</v>
      </c>
      <c r="S10" s="392">
        <v>4708.1460000000006</v>
      </c>
      <c r="T10" s="392">
        <v>4748.1239999999998</v>
      </c>
      <c r="U10" s="392">
        <v>4759.3019999999997</v>
      </c>
      <c r="V10" s="392">
        <v>4617.2640000000001</v>
      </c>
      <c r="W10" s="392">
        <v>4768.5240000000003</v>
      </c>
      <c r="X10" s="392">
        <v>4625.3760000000002</v>
      </c>
      <c r="Y10" s="392">
        <v>4699.8360000000002</v>
      </c>
      <c r="Z10" s="392">
        <v>4712.6819999999998</v>
      </c>
      <c r="AA10" s="392">
        <v>4571.1660000000002</v>
      </c>
      <c r="AB10" s="392">
        <v>4627.9800000000005</v>
      </c>
      <c r="AC10" s="392">
        <v>4634.268</v>
      </c>
      <c r="AD10" s="392">
        <v>4627.6440000000002</v>
      </c>
      <c r="AE10" s="392">
        <v>4615.3320000000003</v>
      </c>
      <c r="AF10" s="392">
        <v>4653.2759999999998</v>
      </c>
      <c r="AG10" s="392">
        <v>4847.5140000000001</v>
      </c>
      <c r="AH10" s="392">
        <v>4685.8620000000001</v>
      </c>
      <c r="AI10" s="392">
        <v>4655.5560000000005</v>
      </c>
      <c r="AJ10" s="392">
        <v>4583.0460000000003</v>
      </c>
      <c r="AK10" s="392">
        <v>4628.0280000000002</v>
      </c>
      <c r="AL10" s="392">
        <v>4432.53</v>
      </c>
      <c r="AM10" s="392">
        <v>4419.5219999999999</v>
      </c>
      <c r="AN10" s="392">
        <v>4535.4480000000003</v>
      </c>
      <c r="AO10" s="392">
        <v>4580.9400000000005</v>
      </c>
      <c r="AP10" s="392">
        <v>4596.5039999999999</v>
      </c>
      <c r="AQ10" s="392">
        <v>4648.1639999999998</v>
      </c>
      <c r="AR10" s="392">
        <v>4688.4960000000001</v>
      </c>
      <c r="AS10" s="392">
        <v>4819.4639999999999</v>
      </c>
      <c r="AT10" s="392">
        <v>4670.3820000000005</v>
      </c>
      <c r="AU10" s="392">
        <v>4659.8879999999999</v>
      </c>
      <c r="AV10" s="392">
        <v>4710.4859999999999</v>
      </c>
      <c r="AW10" s="392">
        <v>4781.268</v>
      </c>
      <c r="AX10" s="392">
        <v>4794.2640000000001</v>
      </c>
      <c r="AY10" s="392">
        <v>4700.4179999999997</v>
      </c>
      <c r="AZ10" s="392">
        <v>4819.3500000000004</v>
      </c>
      <c r="BA10" s="392">
        <v>4845.6779999999999</v>
      </c>
      <c r="BB10" s="392">
        <v>4967.1419999999998</v>
      </c>
      <c r="BC10" s="392">
        <v>4983.8879999999999</v>
      </c>
      <c r="BD10" s="392">
        <v>5068.9319999999998</v>
      </c>
      <c r="BE10" s="392">
        <v>5092.9139999999998</v>
      </c>
      <c r="BF10" s="392">
        <v>5046.0540000000001</v>
      </c>
      <c r="BG10" s="392">
        <v>5074.6020000000008</v>
      </c>
      <c r="BH10" s="392">
        <v>5020.866</v>
      </c>
      <c r="BI10" s="392">
        <v>5108.3580000000002</v>
      </c>
      <c r="BJ10" s="392">
        <v>5143.1460000000006</v>
      </c>
      <c r="BK10" s="392">
        <v>4985.058</v>
      </c>
      <c r="BL10" s="392">
        <v>5130.576</v>
      </c>
      <c r="BM10" s="392">
        <v>5042.3879999999999</v>
      </c>
      <c r="BN10" s="392">
        <v>5300.232</v>
      </c>
      <c r="BO10" s="392">
        <v>5247.6840000000002</v>
      </c>
      <c r="BP10" s="392">
        <v>5465.28</v>
      </c>
      <c r="BQ10" s="392">
        <v>5444.9940000000006</v>
      </c>
      <c r="BR10" s="392">
        <v>5308.0380000000005</v>
      </c>
      <c r="BS10" s="392">
        <v>5376.768</v>
      </c>
      <c r="BT10" s="392">
        <v>5321.88</v>
      </c>
      <c r="BU10" s="392">
        <v>5322.1859999999997</v>
      </c>
      <c r="BV10" s="392">
        <v>5278.152</v>
      </c>
      <c r="BW10" s="392">
        <v>5231.04</v>
      </c>
      <c r="BX10" s="392">
        <v>5409.768</v>
      </c>
      <c r="BY10" s="392">
        <v>5374.3140000000003</v>
      </c>
      <c r="BZ10" s="392">
        <v>5465.7840000000006</v>
      </c>
      <c r="CA10" s="392">
        <v>5332.08</v>
      </c>
      <c r="CB10" s="392">
        <v>5456.4359999999997</v>
      </c>
      <c r="CC10" s="392">
        <v>5520.3119999999999</v>
      </c>
      <c r="CD10" s="392">
        <v>5494.7759999999998</v>
      </c>
      <c r="CE10" s="392">
        <v>5588.8559999999998</v>
      </c>
      <c r="CF10" s="392">
        <v>5569.7699999999995</v>
      </c>
      <c r="CG10" s="392">
        <v>5592.96</v>
      </c>
      <c r="CH10" s="392">
        <v>5535.5280000000002</v>
      </c>
      <c r="CI10" s="392">
        <v>5459.9519999999993</v>
      </c>
      <c r="CJ10" s="392">
        <v>5291.8979999999992</v>
      </c>
      <c r="CK10" s="392">
        <v>5365.7159999999994</v>
      </c>
      <c r="CL10" s="392">
        <v>5404.482</v>
      </c>
      <c r="CM10" s="392">
        <v>5303.7060000000001</v>
      </c>
      <c r="CN10" s="392">
        <v>5424.8879999999999</v>
      </c>
      <c r="CO10" s="392">
        <v>5383.62</v>
      </c>
      <c r="CP10" s="392">
        <v>5320.6020000000008</v>
      </c>
      <c r="CQ10" s="392">
        <v>5408.7000000000007</v>
      </c>
      <c r="CR10" s="392">
        <v>5277.0720000000001</v>
      </c>
      <c r="CS10" s="392">
        <v>5274.3180000000002</v>
      </c>
      <c r="CT10" s="392">
        <v>5250.384</v>
      </c>
      <c r="CU10" s="392">
        <v>5175.7259999999997</v>
      </c>
      <c r="CV10" s="392">
        <v>5304.7740000000003</v>
      </c>
      <c r="CW10" s="392">
        <v>5177.3339999999998</v>
      </c>
      <c r="CX10" s="392">
        <v>5318.4</v>
      </c>
      <c r="CY10" s="392">
        <v>5320.5119999999997</v>
      </c>
      <c r="CZ10" s="392">
        <v>5370.09</v>
      </c>
      <c r="DA10" s="392">
        <v>5334.192</v>
      </c>
      <c r="DB10" s="392">
        <v>5321.43</v>
      </c>
      <c r="DC10" s="392">
        <v>5310.09</v>
      </c>
      <c r="DD10" s="392">
        <v>5352.1679999999997</v>
      </c>
      <c r="DE10" s="392">
        <v>5302.8119999999999</v>
      </c>
      <c r="DF10" s="392">
        <v>5227.5480000000007</v>
      </c>
      <c r="DG10" s="392">
        <v>5339.6939999999995</v>
      </c>
      <c r="DH10" s="392">
        <v>5467.1819999999998</v>
      </c>
      <c r="DI10" s="392">
        <v>5592.7019999999993</v>
      </c>
      <c r="DJ10" s="392">
        <v>5396.8679999999995</v>
      </c>
      <c r="DK10" s="392">
        <v>5369.7539999999999</v>
      </c>
      <c r="DL10" s="392">
        <v>5294.7719999999999</v>
      </c>
      <c r="DM10" s="392">
        <v>5286.8159999999998</v>
      </c>
      <c r="DN10" s="392">
        <v>5310.9179999999997</v>
      </c>
      <c r="DO10" s="392">
        <v>5348.2259999999997</v>
      </c>
      <c r="DP10" s="392">
        <v>5453.1660000000002</v>
      </c>
      <c r="DQ10" s="392">
        <v>5447.8739999999998</v>
      </c>
      <c r="DR10" s="392">
        <v>5280.2939999999999</v>
      </c>
      <c r="DS10" s="392">
        <v>5461.0439999999999</v>
      </c>
      <c r="DT10" s="392">
        <v>5651.3280000000004</v>
      </c>
      <c r="DU10" s="392">
        <v>5396.634</v>
      </c>
      <c r="DV10" s="392">
        <v>5743.5839999999998</v>
      </c>
      <c r="DW10" s="392">
        <v>5483.9459999999999</v>
      </c>
      <c r="DX10" s="392">
        <v>5507.49</v>
      </c>
      <c r="DY10" s="392">
        <v>5638.2539999999999</v>
      </c>
      <c r="DZ10" s="392">
        <v>5545.9380000000001</v>
      </c>
      <c r="EA10" s="392">
        <v>5712.72</v>
      </c>
      <c r="EB10" s="392">
        <v>5728.0560000000005</v>
      </c>
      <c r="EC10" s="392">
        <v>5754.1080000000002</v>
      </c>
      <c r="ED10" s="392">
        <v>5131.1819999999998</v>
      </c>
      <c r="EE10" s="392">
        <v>5358.2820000000002</v>
      </c>
      <c r="EF10" s="392">
        <v>5371.0380000000005</v>
      </c>
      <c r="EG10" s="392">
        <v>4998.3119999999999</v>
      </c>
      <c r="EH10" s="392">
        <v>5275.0140000000001</v>
      </c>
      <c r="EI10" s="392">
        <v>4940.91</v>
      </c>
      <c r="EJ10" s="392">
        <v>4802.442</v>
      </c>
      <c r="EK10" s="392">
        <v>4885.1460000000006</v>
      </c>
      <c r="EL10" s="392">
        <v>4712.7780000000002</v>
      </c>
      <c r="EM10" s="392">
        <v>4694.0219999999999</v>
      </c>
      <c r="EN10" s="392">
        <v>4692.1859999999997</v>
      </c>
      <c r="EO10" s="392">
        <v>4591.4219999999996</v>
      </c>
      <c r="EP10" s="392">
        <v>4571.6880000000001</v>
      </c>
      <c r="EQ10" s="392">
        <v>4821.0720000000001</v>
      </c>
      <c r="ER10" s="392">
        <v>4770.09</v>
      </c>
      <c r="ES10" s="392">
        <v>4802.634</v>
      </c>
      <c r="ET10" s="392">
        <v>4902.8940000000002</v>
      </c>
      <c r="EU10" s="392">
        <v>4829.7359999999999</v>
      </c>
      <c r="EV10" s="392">
        <v>4996.5240000000003</v>
      </c>
      <c r="EW10" s="392">
        <v>4866.2579999999998</v>
      </c>
      <c r="EX10" s="392">
        <v>4890.9480000000003</v>
      </c>
      <c r="EY10" s="392">
        <v>5170.5119999999997</v>
      </c>
      <c r="EZ10" s="392">
        <v>5018.7060000000001</v>
      </c>
      <c r="FA10" s="392">
        <v>4883.3520000000008</v>
      </c>
      <c r="FB10" s="392">
        <v>4837.4459999999999</v>
      </c>
      <c r="FC10" s="392">
        <v>4988.0519999999997</v>
      </c>
      <c r="FD10" s="392">
        <v>5006.3099999999995</v>
      </c>
      <c r="FE10" s="392">
        <v>4757.7479999999996</v>
      </c>
      <c r="FF10" s="392">
        <v>4927.3379999999997</v>
      </c>
      <c r="FG10" s="392">
        <v>4796.0940000000001</v>
      </c>
      <c r="FH10" s="392">
        <v>4839.2159999999994</v>
      </c>
      <c r="FI10" s="392">
        <v>4744.1220000000003</v>
      </c>
      <c r="FJ10" s="392">
        <v>4793.076</v>
      </c>
      <c r="FK10" s="392">
        <v>4877.8440000000001</v>
      </c>
      <c r="FL10" s="392">
        <v>4834.4400000000005</v>
      </c>
      <c r="FM10" s="392">
        <v>4772.1959999999999</v>
      </c>
      <c r="FN10" s="392">
        <v>4563.4800000000005</v>
      </c>
      <c r="FO10" s="392">
        <v>4806.1080000000002</v>
      </c>
      <c r="FP10" s="392">
        <v>4891.3019999999997</v>
      </c>
      <c r="FQ10" s="392">
        <v>4537.26</v>
      </c>
      <c r="FR10" s="392">
        <v>4747.0140000000001</v>
      </c>
      <c r="FS10" s="392">
        <v>4725.03</v>
      </c>
      <c r="FT10" s="392">
        <v>4673.6099999999997</v>
      </c>
      <c r="FU10" s="392">
        <v>4738.4519999999993</v>
      </c>
      <c r="FV10" s="392">
        <v>4641.1859999999997</v>
      </c>
      <c r="FW10" s="392">
        <v>4671.2759999999998</v>
      </c>
      <c r="FX10" s="392">
        <v>5054.8979999999992</v>
      </c>
      <c r="FY10" s="392">
        <v>4519.9139999999998</v>
      </c>
      <c r="FZ10" s="392">
        <v>4370.9459999999999</v>
      </c>
      <c r="GA10" s="392">
        <v>4781.79</v>
      </c>
      <c r="GB10" s="392">
        <v>4347.4260000000004</v>
      </c>
      <c r="GC10" s="392">
        <v>4285.6320000000005</v>
      </c>
      <c r="GD10" s="392">
        <v>4514.4780000000001</v>
      </c>
      <c r="GE10" s="392">
        <v>4359.2640000000001</v>
      </c>
      <c r="GF10" s="392">
        <v>4477.8420000000006</v>
      </c>
      <c r="GG10" s="392">
        <v>4648.9800000000005</v>
      </c>
      <c r="GH10" s="392">
        <v>3974.6039999999998</v>
      </c>
      <c r="GI10" s="392">
        <v>4498.4400000000005</v>
      </c>
      <c r="GJ10" s="392">
        <v>4468.866</v>
      </c>
      <c r="GK10" s="392">
        <v>4227.348</v>
      </c>
      <c r="GL10" s="392">
        <v>4181.7420000000002</v>
      </c>
      <c r="GM10" s="392">
        <v>4399.2539999999999</v>
      </c>
      <c r="GN10" s="392">
        <v>4415.43</v>
      </c>
      <c r="GO10" s="392">
        <v>4067.3940000000002</v>
      </c>
      <c r="GP10" s="392">
        <v>4467.6360000000004</v>
      </c>
      <c r="GQ10" s="392">
        <v>4283.634</v>
      </c>
      <c r="GR10" s="392">
        <v>4282.9800000000005</v>
      </c>
      <c r="GS10" s="392">
        <v>4413.2820000000002</v>
      </c>
      <c r="GT10" s="392">
        <v>4464.0599999999995</v>
      </c>
      <c r="GU10" s="392">
        <v>4343.7240000000002</v>
      </c>
      <c r="GV10" s="392">
        <v>4548.4800000000005</v>
      </c>
      <c r="GW10" s="392">
        <v>4187.4840000000004</v>
      </c>
      <c r="GX10" s="392">
        <v>4899.6900000000005</v>
      </c>
      <c r="GY10" s="392">
        <v>4195.4219999999996</v>
      </c>
      <c r="GZ10" s="392">
        <v>3985.9800000000005</v>
      </c>
      <c r="HA10" s="392">
        <v>4076.634</v>
      </c>
      <c r="HB10" s="392">
        <v>4144.4940000000006</v>
      </c>
      <c r="HC10" s="392">
        <v>4497.3599999999997</v>
      </c>
      <c r="HD10" s="392">
        <v>4543.62</v>
      </c>
      <c r="HE10" s="392">
        <v>3725.31</v>
      </c>
      <c r="HF10" s="392">
        <v>3209.4120000000003</v>
      </c>
      <c r="HG10" s="392">
        <v>4186.098</v>
      </c>
      <c r="HH10" s="392">
        <v>4295.3580000000002</v>
      </c>
      <c r="HI10" s="392">
        <v>4885.4580000000005</v>
      </c>
      <c r="HJ10" s="392">
        <v>4087.518</v>
      </c>
      <c r="HK10" s="392">
        <v>4187.82</v>
      </c>
      <c r="HL10" s="392">
        <v>4284.51</v>
      </c>
      <c r="HM10" s="392">
        <v>4051.08</v>
      </c>
      <c r="HN10" s="392">
        <v>4401.3180000000002</v>
      </c>
      <c r="HO10" s="392">
        <v>5435.5739999999996</v>
      </c>
      <c r="HP10" s="444">
        <v>4303.7759999999998</v>
      </c>
      <c r="HQ10" s="444">
        <v>4271.8919999999998</v>
      </c>
      <c r="HR10" s="444">
        <v>4386.03</v>
      </c>
      <c r="HS10" s="444">
        <v>4307.7659999999996</v>
      </c>
      <c r="HT10" s="444">
        <v>4347.1620000000003</v>
      </c>
      <c r="HU10" s="444">
        <v>5098.098</v>
      </c>
      <c r="HV10" s="392">
        <v>4457.0460000000003</v>
      </c>
      <c r="HW10" s="392">
        <v>4474.5119999999997</v>
      </c>
      <c r="HX10" s="392">
        <v>4400.5320000000002</v>
      </c>
      <c r="HY10" s="392">
        <v>3672.4979999999996</v>
      </c>
      <c r="HZ10" s="392">
        <v>4168.3019999999997</v>
      </c>
      <c r="IA10" s="392">
        <v>4356.2039999999997</v>
      </c>
      <c r="IB10" s="392">
        <v>4600.3559999999998</v>
      </c>
      <c r="IC10" s="392">
        <v>4446.3599999999997</v>
      </c>
      <c r="ID10" s="392">
        <v>4419.402</v>
      </c>
      <c r="IE10" s="392">
        <v>4487.2259999999997</v>
      </c>
      <c r="IF10" s="392">
        <v>4410.0959999999995</v>
      </c>
      <c r="IG10" s="392">
        <v>4206.2939999999999</v>
      </c>
      <c r="IH10" s="392">
        <v>4076.5920000000001</v>
      </c>
      <c r="II10" s="392">
        <v>3950.076</v>
      </c>
      <c r="IJ10" s="392">
        <v>4690.2179999999998</v>
      </c>
      <c r="IK10" s="392">
        <v>4056.0119999999997</v>
      </c>
      <c r="IL10" s="392">
        <v>4431.2759999999998</v>
      </c>
      <c r="IM10" s="392">
        <v>4256.982</v>
      </c>
      <c r="IN10" s="444">
        <v>4380.2640000000001</v>
      </c>
      <c r="IO10" s="444">
        <v>4443.3119999999999</v>
      </c>
      <c r="IP10" s="444">
        <v>4000.9139999999998</v>
      </c>
      <c r="IQ10" s="444">
        <v>4451.6039999999994</v>
      </c>
      <c r="IR10" s="444">
        <v>4437.5460000000003</v>
      </c>
      <c r="IS10" s="444">
        <v>4093.62</v>
      </c>
      <c r="IT10" s="444">
        <v>3931.7699999999995</v>
      </c>
      <c r="IU10" s="444">
        <v>3734.6099999999997</v>
      </c>
      <c r="IV10" s="444">
        <v>4085.0640000000003</v>
      </c>
      <c r="IW10" s="445">
        <v>4033.902</v>
      </c>
      <c r="IX10" s="445">
        <v>4309.866</v>
      </c>
      <c r="IY10" s="445">
        <v>4313.9059999999999</v>
      </c>
      <c r="IZ10" s="445">
        <v>4303.9279999999999</v>
      </c>
      <c r="JA10" s="445">
        <v>4359.6840000000002</v>
      </c>
      <c r="JB10" s="445">
        <v>4343.6840000000002</v>
      </c>
      <c r="JC10" s="445">
        <v>4260.7640000000001</v>
      </c>
      <c r="JD10" s="445">
        <v>4264.4799999999996</v>
      </c>
      <c r="JE10" s="446">
        <v>4203.5439999999999</v>
      </c>
    </row>
    <row r="11" spans="1:519" x14ac:dyDescent="0.3">
      <c r="A11" s="394" t="s">
        <v>179</v>
      </c>
      <c r="B11" s="395">
        <v>544.476</v>
      </c>
      <c r="C11" s="395">
        <v>557.93399999999997</v>
      </c>
      <c r="D11" s="395">
        <v>623.77800000000002</v>
      </c>
      <c r="E11" s="395">
        <v>522.99599999999998</v>
      </c>
      <c r="F11" s="395">
        <v>604.59</v>
      </c>
      <c r="G11" s="395">
        <v>683.33399999999995</v>
      </c>
      <c r="H11" s="395">
        <v>558.99</v>
      </c>
      <c r="I11" s="395">
        <v>576.41999999999996</v>
      </c>
      <c r="J11" s="395">
        <v>625.63799999999992</v>
      </c>
      <c r="K11" s="395">
        <v>546.16200000000003</v>
      </c>
      <c r="L11" s="395">
        <v>562.5</v>
      </c>
      <c r="M11" s="395">
        <v>579.822</v>
      </c>
      <c r="N11" s="395">
        <v>486.96</v>
      </c>
      <c r="O11" s="395">
        <v>538.20000000000005</v>
      </c>
      <c r="P11" s="395">
        <v>613.69200000000001</v>
      </c>
      <c r="Q11" s="395">
        <v>530.64599999999996</v>
      </c>
      <c r="R11" s="395">
        <v>562.96199999999999</v>
      </c>
      <c r="S11" s="395">
        <v>628.87199999999996</v>
      </c>
      <c r="T11" s="395">
        <v>556.14599999999996</v>
      </c>
      <c r="U11" s="395">
        <v>629.93999999999994</v>
      </c>
      <c r="V11" s="395">
        <v>532.95000000000005</v>
      </c>
      <c r="W11" s="395">
        <v>513.15000000000009</v>
      </c>
      <c r="X11" s="395">
        <v>586.29</v>
      </c>
      <c r="Y11" s="395">
        <v>472.65000000000003</v>
      </c>
      <c r="Z11" s="395">
        <v>470.41800000000001</v>
      </c>
      <c r="AA11" s="395">
        <v>502.96199999999999</v>
      </c>
      <c r="AB11" s="395">
        <v>586.98</v>
      </c>
      <c r="AC11" s="395">
        <v>480.91200000000003</v>
      </c>
      <c r="AD11" s="395">
        <v>571.15800000000002</v>
      </c>
      <c r="AE11" s="395">
        <v>548.04599999999994</v>
      </c>
      <c r="AF11" s="395">
        <v>549.55200000000002</v>
      </c>
      <c r="AG11" s="395">
        <v>564.97199999999998</v>
      </c>
      <c r="AH11" s="395">
        <v>532.62</v>
      </c>
      <c r="AI11" s="395">
        <v>551.96399999999994</v>
      </c>
      <c r="AJ11" s="395">
        <v>522.25199999999995</v>
      </c>
      <c r="AK11" s="395">
        <v>511.43999999999994</v>
      </c>
      <c r="AL11" s="395">
        <v>491.90999999999997</v>
      </c>
      <c r="AM11" s="395">
        <v>503.78399999999999</v>
      </c>
      <c r="AN11" s="395">
        <v>556.22399999999993</v>
      </c>
      <c r="AO11" s="395">
        <v>443.07600000000002</v>
      </c>
      <c r="AP11" s="395">
        <v>553.38599999999997</v>
      </c>
      <c r="AQ11" s="395">
        <v>531.798</v>
      </c>
      <c r="AR11" s="395">
        <v>497.904</v>
      </c>
      <c r="AS11" s="395">
        <v>533.96399999999994</v>
      </c>
      <c r="AT11" s="395">
        <v>542.24399999999991</v>
      </c>
      <c r="AU11" s="395">
        <v>523.80600000000004</v>
      </c>
      <c r="AV11" s="395">
        <v>554.72399999999993</v>
      </c>
      <c r="AW11" s="395">
        <v>540.89400000000001</v>
      </c>
      <c r="AX11" s="395">
        <v>517.55399999999997</v>
      </c>
      <c r="AY11" s="395">
        <v>538.61400000000003</v>
      </c>
      <c r="AZ11" s="395">
        <v>478.536</v>
      </c>
      <c r="BA11" s="395">
        <v>438.59400000000005</v>
      </c>
      <c r="BB11" s="395">
        <v>590.09400000000005</v>
      </c>
      <c r="BC11" s="395">
        <v>583.39200000000005</v>
      </c>
      <c r="BD11" s="395">
        <v>580.78800000000001</v>
      </c>
      <c r="BE11" s="395">
        <v>609.34800000000007</v>
      </c>
      <c r="BF11" s="395">
        <v>587.84999999999991</v>
      </c>
      <c r="BG11" s="395">
        <v>605.91</v>
      </c>
      <c r="BH11" s="395">
        <v>614.02200000000005</v>
      </c>
      <c r="BI11" s="395">
        <v>612.92399999999998</v>
      </c>
      <c r="BJ11" s="395">
        <v>629.63400000000001</v>
      </c>
      <c r="BK11" s="395">
        <v>636.822</v>
      </c>
      <c r="BL11" s="395">
        <v>676.07400000000007</v>
      </c>
      <c r="BM11" s="395">
        <v>606.38400000000001</v>
      </c>
      <c r="BN11" s="395">
        <v>709.88400000000001</v>
      </c>
      <c r="BO11" s="395">
        <v>634.94399999999996</v>
      </c>
      <c r="BP11" s="395">
        <v>662.46</v>
      </c>
      <c r="BQ11" s="395">
        <v>669.10799999999995</v>
      </c>
      <c r="BR11" s="395">
        <v>647.69399999999996</v>
      </c>
      <c r="BS11" s="395">
        <v>639.46199999999999</v>
      </c>
      <c r="BT11" s="395">
        <v>662.86200000000008</v>
      </c>
      <c r="BU11" s="395">
        <v>573.49800000000005</v>
      </c>
      <c r="BV11" s="395">
        <v>596.41200000000003</v>
      </c>
      <c r="BW11" s="395">
        <v>602.62800000000004</v>
      </c>
      <c r="BX11" s="395">
        <v>630.25800000000004</v>
      </c>
      <c r="BY11" s="395">
        <v>536.58000000000004</v>
      </c>
      <c r="BZ11" s="395">
        <v>621.32400000000007</v>
      </c>
      <c r="CA11" s="395">
        <v>592.428</v>
      </c>
      <c r="CB11" s="395">
        <v>610.74599999999998</v>
      </c>
      <c r="CC11" s="395">
        <v>598.29</v>
      </c>
      <c r="CD11" s="395">
        <v>604.66800000000001</v>
      </c>
      <c r="CE11" s="395">
        <v>588.08399999999995</v>
      </c>
      <c r="CF11" s="395">
        <v>623.81999999999994</v>
      </c>
      <c r="CG11" s="395">
        <v>577.33799999999997</v>
      </c>
      <c r="CH11" s="395">
        <v>584.57400000000007</v>
      </c>
      <c r="CI11" s="395">
        <v>629.05200000000002</v>
      </c>
      <c r="CJ11" s="395">
        <v>620.04</v>
      </c>
      <c r="CK11" s="395">
        <v>620.226</v>
      </c>
      <c r="CL11" s="395">
        <v>677.64599999999996</v>
      </c>
      <c r="CM11" s="395">
        <v>652.29</v>
      </c>
      <c r="CN11" s="395">
        <v>667.88400000000001</v>
      </c>
      <c r="CO11" s="395">
        <v>657.27600000000007</v>
      </c>
      <c r="CP11" s="395">
        <v>661.596</v>
      </c>
      <c r="CQ11" s="395">
        <v>723.90599999999995</v>
      </c>
      <c r="CR11" s="395">
        <v>707.952</v>
      </c>
      <c r="CS11" s="395">
        <v>673.2059999999999</v>
      </c>
      <c r="CT11" s="395">
        <v>676.30200000000002</v>
      </c>
      <c r="CU11" s="395">
        <v>683.95799999999997</v>
      </c>
      <c r="CV11" s="395">
        <v>731.41200000000003</v>
      </c>
      <c r="CW11" s="395">
        <v>646.87800000000004</v>
      </c>
      <c r="CX11" s="395">
        <v>714.56999999999994</v>
      </c>
      <c r="CY11" s="395">
        <v>711.66</v>
      </c>
      <c r="CZ11" s="395">
        <v>696.71399999999994</v>
      </c>
      <c r="DA11" s="395">
        <v>687.46800000000007</v>
      </c>
      <c r="DB11" s="395">
        <v>680.18399999999997</v>
      </c>
      <c r="DC11" s="395">
        <v>685.08</v>
      </c>
      <c r="DD11" s="395">
        <v>662.47199999999998</v>
      </c>
      <c r="DE11" s="395">
        <v>641.91600000000005</v>
      </c>
      <c r="DF11" s="395">
        <v>645.72</v>
      </c>
      <c r="DG11" s="395">
        <v>648.34199999999998</v>
      </c>
      <c r="DH11" s="395">
        <v>709.69200000000001</v>
      </c>
      <c r="DI11" s="395">
        <v>610.32600000000002</v>
      </c>
      <c r="DJ11" s="395">
        <v>681.41399999999999</v>
      </c>
      <c r="DK11" s="395">
        <v>674.41200000000003</v>
      </c>
      <c r="DL11" s="395">
        <v>647.68799999999999</v>
      </c>
      <c r="DM11" s="395">
        <v>668.67599999999993</v>
      </c>
      <c r="DN11" s="395">
        <v>645.54599999999994</v>
      </c>
      <c r="DO11" s="395">
        <v>633.45000000000005</v>
      </c>
      <c r="DP11" s="395">
        <v>649.86</v>
      </c>
      <c r="DQ11" s="395">
        <v>608.61599999999999</v>
      </c>
      <c r="DR11" s="395">
        <v>618.92399999999998</v>
      </c>
      <c r="DS11" s="395">
        <v>608.82600000000002</v>
      </c>
      <c r="DT11" s="395">
        <v>656.84999999999991</v>
      </c>
      <c r="DU11" s="395">
        <v>593.97</v>
      </c>
      <c r="DV11" s="395">
        <v>627.68999999999994</v>
      </c>
      <c r="DW11" s="395">
        <v>623.57400000000007</v>
      </c>
      <c r="DX11" s="395">
        <v>624.40800000000002</v>
      </c>
      <c r="DY11" s="395">
        <v>642.654</v>
      </c>
      <c r="DZ11" s="395">
        <v>633.39</v>
      </c>
      <c r="EA11" s="395">
        <v>646.34400000000005</v>
      </c>
      <c r="EB11" s="395">
        <v>679.78800000000001</v>
      </c>
      <c r="EC11" s="395">
        <v>676.30200000000002</v>
      </c>
      <c r="ED11" s="395">
        <v>678.37199999999996</v>
      </c>
      <c r="EE11" s="395">
        <v>706.17</v>
      </c>
      <c r="EF11" s="395">
        <v>736.56600000000003</v>
      </c>
      <c r="EG11" s="395">
        <v>652.43399999999997</v>
      </c>
      <c r="EH11" s="395">
        <v>734.41800000000001</v>
      </c>
      <c r="EI11" s="395">
        <v>711.89400000000001</v>
      </c>
      <c r="EJ11" s="395">
        <v>705.21600000000001</v>
      </c>
      <c r="EK11" s="395">
        <v>731.10599999999999</v>
      </c>
      <c r="EL11" s="395">
        <v>692.35199999999998</v>
      </c>
      <c r="EM11" s="395">
        <v>709.33799999999997</v>
      </c>
      <c r="EN11" s="395">
        <v>711.15599999999995</v>
      </c>
      <c r="EO11" s="395">
        <v>669.97199999999998</v>
      </c>
      <c r="EP11" s="395">
        <v>680.346</v>
      </c>
      <c r="EQ11" s="395">
        <v>670.14599999999996</v>
      </c>
      <c r="ER11" s="395">
        <v>675.40199999999993</v>
      </c>
      <c r="ES11" s="395">
        <v>632.79599999999994</v>
      </c>
      <c r="ET11" s="395">
        <v>703.9559999999999</v>
      </c>
      <c r="EU11" s="395">
        <v>671.63400000000001</v>
      </c>
      <c r="EV11" s="395">
        <v>681.60599999999999</v>
      </c>
      <c r="EW11" s="395">
        <v>687.43200000000002</v>
      </c>
      <c r="EX11" s="395">
        <v>641.43600000000004</v>
      </c>
      <c r="EY11" s="395">
        <v>647.98199999999997</v>
      </c>
      <c r="EZ11" s="395">
        <v>661.17</v>
      </c>
      <c r="FA11" s="395">
        <v>625.73400000000004</v>
      </c>
      <c r="FB11" s="395">
        <v>638.14800000000002</v>
      </c>
      <c r="FC11" s="395">
        <v>667.14599999999996</v>
      </c>
      <c r="FD11" s="395">
        <v>717.37199999999996</v>
      </c>
      <c r="FE11" s="395">
        <v>348.96600000000001</v>
      </c>
      <c r="FF11" s="395">
        <v>401.86200000000002</v>
      </c>
      <c r="FG11" s="395">
        <v>378.714</v>
      </c>
      <c r="FH11" s="395">
        <v>391.32600000000002</v>
      </c>
      <c r="FI11" s="395">
        <v>389.81399999999996</v>
      </c>
      <c r="FJ11" s="395">
        <v>382.36199999999997</v>
      </c>
      <c r="FK11" s="395">
        <v>393.97200000000004</v>
      </c>
      <c r="FL11" s="395">
        <v>382.608</v>
      </c>
      <c r="FM11" s="395">
        <v>657.072</v>
      </c>
      <c r="FN11" s="395">
        <v>615.26400000000001</v>
      </c>
      <c r="FO11" s="395">
        <v>640.86</v>
      </c>
      <c r="FP11" s="395">
        <v>703.84199999999998</v>
      </c>
      <c r="FQ11" s="395">
        <v>619.10400000000004</v>
      </c>
      <c r="FR11" s="395">
        <v>699.11400000000003</v>
      </c>
      <c r="FS11" s="395">
        <v>707.65199999999993</v>
      </c>
      <c r="FT11" s="395">
        <v>721.29599999999994</v>
      </c>
      <c r="FU11" s="395">
        <v>723.21600000000001</v>
      </c>
      <c r="FV11" s="395">
        <v>726.56399999999996</v>
      </c>
      <c r="FW11" s="395">
        <v>726.23400000000004</v>
      </c>
      <c r="FX11" s="395">
        <v>704.41200000000003</v>
      </c>
      <c r="FY11" s="395">
        <v>710.18399999999997</v>
      </c>
      <c r="FZ11" s="395">
        <v>684.84</v>
      </c>
      <c r="GA11" s="395">
        <v>715.43399999999997</v>
      </c>
      <c r="GB11" s="395">
        <v>681.56399999999996</v>
      </c>
      <c r="GC11" s="395">
        <v>628.87199999999996</v>
      </c>
      <c r="GD11" s="395">
        <v>685.53</v>
      </c>
      <c r="GE11" s="395">
        <v>680.05799999999999</v>
      </c>
      <c r="GF11" s="395">
        <v>677.43600000000004</v>
      </c>
      <c r="GG11" s="395">
        <v>633.54599999999994</v>
      </c>
      <c r="GH11" s="395">
        <v>602.98199999999997</v>
      </c>
      <c r="GI11" s="395">
        <v>669.68399999999997</v>
      </c>
      <c r="GJ11" s="395">
        <v>607.10400000000004</v>
      </c>
      <c r="GK11" s="395">
        <v>560.97</v>
      </c>
      <c r="GL11" s="395">
        <v>566.37599999999998</v>
      </c>
      <c r="GM11" s="395">
        <v>552.90599999999995</v>
      </c>
      <c r="GN11" s="395">
        <v>591.58799999999997</v>
      </c>
      <c r="GO11" s="395">
        <v>487.27200000000005</v>
      </c>
      <c r="GP11" s="395">
        <v>578.39400000000001</v>
      </c>
      <c r="GQ11" s="395">
        <v>547.66200000000003</v>
      </c>
      <c r="GR11" s="395">
        <v>526.90800000000002</v>
      </c>
      <c r="GS11" s="395">
        <v>526.38</v>
      </c>
      <c r="GT11" s="395">
        <v>480.21</v>
      </c>
      <c r="GU11" s="395">
        <v>508.34999999999997</v>
      </c>
      <c r="GV11" s="395">
        <v>492.61200000000002</v>
      </c>
      <c r="GW11" s="395">
        <v>477.96600000000001</v>
      </c>
      <c r="GX11" s="395">
        <v>459.83399999999995</v>
      </c>
      <c r="GY11" s="395">
        <v>473.59800000000007</v>
      </c>
      <c r="GZ11" s="395">
        <v>542.30399999999997</v>
      </c>
      <c r="HA11" s="395">
        <v>525.18600000000004</v>
      </c>
      <c r="HB11" s="395">
        <v>566.17200000000003</v>
      </c>
      <c r="HC11" s="395">
        <v>534.97199999999998</v>
      </c>
      <c r="HD11" s="395">
        <v>528.28800000000001</v>
      </c>
      <c r="HE11" s="395">
        <v>548.57400000000007</v>
      </c>
      <c r="HF11" s="395">
        <v>509.74199999999996</v>
      </c>
      <c r="HG11" s="395">
        <v>560.09400000000005</v>
      </c>
      <c r="HH11" s="395">
        <v>539.22</v>
      </c>
      <c r="HI11" s="395">
        <v>458.13599999999997</v>
      </c>
      <c r="HJ11" s="395">
        <v>498.96</v>
      </c>
      <c r="HK11" s="395">
        <v>501.68999999999994</v>
      </c>
      <c r="HL11" s="395">
        <v>535.93200000000002</v>
      </c>
      <c r="HM11" s="395">
        <v>473.79599999999994</v>
      </c>
      <c r="HN11" s="395">
        <v>544.24199999999996</v>
      </c>
      <c r="HO11" s="395">
        <v>502.08600000000001</v>
      </c>
      <c r="HP11" s="395">
        <v>508.42199999999997</v>
      </c>
      <c r="HQ11" s="395">
        <v>506.178</v>
      </c>
      <c r="HR11" s="395">
        <v>482.71800000000002</v>
      </c>
      <c r="HS11" s="395">
        <v>499.34999999999997</v>
      </c>
      <c r="HT11" s="395">
        <v>500.66399999999999</v>
      </c>
      <c r="HU11" s="395">
        <v>481.93200000000002</v>
      </c>
      <c r="HV11" s="395">
        <v>489.13799999999998</v>
      </c>
      <c r="HW11" s="395">
        <v>485.09999999999997</v>
      </c>
      <c r="HX11" s="395">
        <v>507.25200000000001</v>
      </c>
      <c r="HY11" s="395">
        <v>464.01</v>
      </c>
      <c r="HZ11" s="395">
        <v>518.04599999999994</v>
      </c>
      <c r="IA11" s="395">
        <v>512.96399999999994</v>
      </c>
      <c r="IB11" s="395">
        <v>518.35199999999998</v>
      </c>
      <c r="IC11" s="395">
        <v>506.13599999999997</v>
      </c>
      <c r="ID11" s="395">
        <v>489.49799999999999</v>
      </c>
      <c r="IE11" s="395">
        <v>491.82600000000002</v>
      </c>
      <c r="IF11" s="395">
        <v>530.73599999999999</v>
      </c>
      <c r="IG11" s="395">
        <v>391.608</v>
      </c>
      <c r="IH11" s="395">
        <v>511.99199999999996</v>
      </c>
      <c r="II11" s="395">
        <v>460.53</v>
      </c>
      <c r="IJ11" s="395">
        <v>540.24</v>
      </c>
      <c r="IK11" s="395">
        <v>462.68999999999994</v>
      </c>
      <c r="IL11" s="395">
        <v>501.17399999999998</v>
      </c>
      <c r="IM11" s="395">
        <v>475.49399999999997</v>
      </c>
      <c r="IN11" s="15">
        <v>449.02200000000005</v>
      </c>
      <c r="IO11" s="15">
        <v>463.95000000000005</v>
      </c>
      <c r="IP11" s="15">
        <v>472.04400000000004</v>
      </c>
      <c r="IQ11" s="15">
        <v>457.49399999999997</v>
      </c>
      <c r="IR11" s="15">
        <v>470.35199999999998</v>
      </c>
      <c r="IS11" s="15">
        <v>454.94399999999996</v>
      </c>
      <c r="IT11" s="15">
        <v>438.87599999999998</v>
      </c>
      <c r="IU11" s="15">
        <v>507.79200000000003</v>
      </c>
      <c r="IV11" s="15">
        <v>466.70400000000006</v>
      </c>
      <c r="IW11" s="15">
        <v>454.39400000000001</v>
      </c>
      <c r="IX11" s="15">
        <v>462</v>
      </c>
      <c r="IY11" s="15">
        <v>461.88200000000001</v>
      </c>
      <c r="IZ11" s="15">
        <v>456.37799999999999</v>
      </c>
      <c r="JA11" s="15">
        <v>473.29199999999997</v>
      </c>
      <c r="JB11" s="15">
        <v>493.36599999999999</v>
      </c>
      <c r="JC11" s="15">
        <v>495.62799999999999</v>
      </c>
      <c r="JD11" s="15">
        <v>498.13200000000001</v>
      </c>
      <c r="JE11" s="447">
        <v>483.8</v>
      </c>
    </row>
    <row r="12" spans="1:519" x14ac:dyDescent="0.3">
      <c r="A12" s="394" t="s">
        <v>180</v>
      </c>
      <c r="B12" s="392">
        <v>440.09999999999997</v>
      </c>
      <c r="C12" s="392">
        <v>462.96600000000001</v>
      </c>
      <c r="D12" s="392">
        <v>488.64600000000002</v>
      </c>
      <c r="E12" s="392">
        <v>423.06599999999997</v>
      </c>
      <c r="F12" s="392">
        <v>505.43999999999994</v>
      </c>
      <c r="G12" s="392">
        <v>464.55600000000004</v>
      </c>
      <c r="H12" s="392">
        <v>446.25</v>
      </c>
      <c r="I12" s="392">
        <v>479.31599999999997</v>
      </c>
      <c r="J12" s="392">
        <v>476.99399999999997</v>
      </c>
      <c r="K12" s="392">
        <v>453.26400000000001</v>
      </c>
      <c r="L12" s="392">
        <v>516.71399999999994</v>
      </c>
      <c r="M12" s="392">
        <v>378.60599999999999</v>
      </c>
      <c r="N12" s="392">
        <v>458.01599999999996</v>
      </c>
      <c r="O12" s="392">
        <v>430.77600000000007</v>
      </c>
      <c r="P12" s="392">
        <v>444.16200000000003</v>
      </c>
      <c r="Q12" s="392">
        <v>222.84</v>
      </c>
      <c r="R12" s="392">
        <v>234.054</v>
      </c>
      <c r="S12" s="392">
        <v>204.56400000000002</v>
      </c>
      <c r="T12" s="392">
        <v>216.642</v>
      </c>
      <c r="U12" s="392">
        <v>208.73400000000001</v>
      </c>
      <c r="V12" s="392">
        <v>211.15799999999999</v>
      </c>
      <c r="W12" s="392">
        <v>243.41400000000002</v>
      </c>
      <c r="X12" s="392">
        <v>243.21600000000001</v>
      </c>
      <c r="Y12" s="392">
        <v>211.92000000000002</v>
      </c>
      <c r="Z12" s="392">
        <v>191.328</v>
      </c>
      <c r="AA12" s="392">
        <v>208.82400000000001</v>
      </c>
      <c r="AB12" s="392">
        <v>254.83199999999999</v>
      </c>
      <c r="AC12" s="392">
        <v>217.31400000000002</v>
      </c>
      <c r="AD12" s="392">
        <v>209.40600000000001</v>
      </c>
      <c r="AE12" s="392">
        <v>212.62199999999999</v>
      </c>
      <c r="AF12" s="392">
        <v>224.982</v>
      </c>
      <c r="AG12" s="392">
        <v>217.11599999999999</v>
      </c>
      <c r="AH12" s="392">
        <v>213.20999999999998</v>
      </c>
      <c r="AI12" s="392">
        <v>221.48400000000001</v>
      </c>
      <c r="AJ12" s="392">
        <v>216.84</v>
      </c>
      <c r="AK12" s="392">
        <v>199.10399999999998</v>
      </c>
      <c r="AL12" s="392">
        <v>189.57</v>
      </c>
      <c r="AM12" s="392">
        <v>208.66800000000001</v>
      </c>
      <c r="AN12" s="392">
        <v>220.21800000000002</v>
      </c>
      <c r="AO12" s="392">
        <v>226.74599999999998</v>
      </c>
      <c r="AP12" s="392">
        <v>228.018</v>
      </c>
      <c r="AQ12" s="392">
        <v>246.37800000000001</v>
      </c>
      <c r="AR12" s="392">
        <v>253.46999999999997</v>
      </c>
      <c r="AS12" s="392">
        <v>249.61199999999997</v>
      </c>
      <c r="AT12" s="392">
        <v>256.98</v>
      </c>
      <c r="AU12" s="392">
        <v>248.196</v>
      </c>
      <c r="AV12" s="392">
        <v>267.24</v>
      </c>
      <c r="AW12" s="392">
        <v>237.71999999999997</v>
      </c>
      <c r="AX12" s="392">
        <v>222.30600000000001</v>
      </c>
      <c r="AY12" s="392">
        <v>259.77</v>
      </c>
      <c r="AZ12" s="392">
        <v>265.57799999999997</v>
      </c>
      <c r="BA12" s="392">
        <v>237.54000000000002</v>
      </c>
      <c r="BB12" s="392">
        <v>260.976</v>
      </c>
      <c r="BC12" s="392">
        <v>278.01</v>
      </c>
      <c r="BD12" s="392">
        <v>253.25400000000002</v>
      </c>
      <c r="BE12" s="392">
        <v>278.37599999999998</v>
      </c>
      <c r="BF12" s="392">
        <v>279.65999999999997</v>
      </c>
      <c r="BG12" s="392">
        <v>288.28800000000001</v>
      </c>
      <c r="BH12" s="392">
        <v>300.82799999999997</v>
      </c>
      <c r="BI12" s="392">
        <v>243.94199999999998</v>
      </c>
      <c r="BJ12" s="392">
        <v>269.52600000000001</v>
      </c>
      <c r="BK12" s="392">
        <v>321.774</v>
      </c>
      <c r="BL12" s="392">
        <v>330.19200000000001</v>
      </c>
      <c r="BM12" s="392">
        <v>271.584</v>
      </c>
      <c r="BN12" s="392">
        <v>354.072</v>
      </c>
      <c r="BO12" s="392">
        <v>355.512</v>
      </c>
      <c r="BP12" s="392">
        <v>343.33199999999999</v>
      </c>
      <c r="BQ12" s="392">
        <v>369.46800000000002</v>
      </c>
      <c r="BR12" s="392">
        <v>351.34800000000001</v>
      </c>
      <c r="BS12" s="392">
        <v>358.28399999999999</v>
      </c>
      <c r="BT12" s="392">
        <v>386.71800000000002</v>
      </c>
      <c r="BU12" s="392">
        <v>317.84399999999999</v>
      </c>
      <c r="BV12" s="392">
        <v>335.964</v>
      </c>
      <c r="BW12" s="392">
        <v>336.21</v>
      </c>
      <c r="BX12" s="392">
        <v>362.28000000000003</v>
      </c>
      <c r="BY12" s="392">
        <v>359.202</v>
      </c>
      <c r="BZ12" s="392">
        <v>424.09800000000007</v>
      </c>
      <c r="CA12" s="392">
        <v>390.36</v>
      </c>
      <c r="CB12" s="392">
        <v>398.99399999999997</v>
      </c>
      <c r="CC12" s="392">
        <v>404.48400000000004</v>
      </c>
      <c r="CD12" s="392">
        <v>402.33000000000004</v>
      </c>
      <c r="CE12" s="392">
        <v>434.55600000000004</v>
      </c>
      <c r="CF12" s="392">
        <v>449.24399999999997</v>
      </c>
      <c r="CG12" s="392">
        <v>363.60599999999999</v>
      </c>
      <c r="CH12" s="392">
        <v>364.08600000000001</v>
      </c>
      <c r="CI12" s="392">
        <v>391.36799999999994</v>
      </c>
      <c r="CJ12" s="392">
        <v>392.76599999999996</v>
      </c>
      <c r="CK12" s="392">
        <v>413.47200000000004</v>
      </c>
      <c r="CL12" s="392">
        <v>408</v>
      </c>
      <c r="CM12" s="392">
        <v>404.64</v>
      </c>
      <c r="CN12" s="392">
        <v>390.92399999999998</v>
      </c>
      <c r="CO12" s="392">
        <v>396.85199999999998</v>
      </c>
      <c r="CP12" s="392">
        <v>397.20599999999996</v>
      </c>
      <c r="CQ12" s="392">
        <v>413.44200000000001</v>
      </c>
      <c r="CR12" s="392">
        <v>396.40199999999993</v>
      </c>
      <c r="CS12" s="392">
        <v>387.73199999999997</v>
      </c>
      <c r="CT12" s="392">
        <v>382.5</v>
      </c>
      <c r="CU12" s="392">
        <v>379.03800000000001</v>
      </c>
      <c r="CV12" s="392">
        <v>391.39800000000002</v>
      </c>
      <c r="CW12" s="392">
        <v>359.67</v>
      </c>
      <c r="CX12" s="392">
        <v>390.87599999999998</v>
      </c>
      <c r="CY12" s="392">
        <v>381.98400000000004</v>
      </c>
      <c r="CZ12" s="392">
        <v>377.55600000000004</v>
      </c>
      <c r="DA12" s="392">
        <v>353.42400000000004</v>
      </c>
      <c r="DB12" s="392">
        <v>343.89600000000002</v>
      </c>
      <c r="DC12" s="392">
        <v>347.37599999999998</v>
      </c>
      <c r="DD12" s="392">
        <v>357.43200000000002</v>
      </c>
      <c r="DE12" s="392">
        <v>324.29999999999995</v>
      </c>
      <c r="DF12" s="392">
        <v>369.22799999999995</v>
      </c>
      <c r="DG12" s="392">
        <v>393.23400000000004</v>
      </c>
      <c r="DH12" s="392">
        <v>401.85599999999999</v>
      </c>
      <c r="DI12" s="392">
        <v>370.25400000000002</v>
      </c>
      <c r="DJ12" s="392">
        <v>393.13200000000006</v>
      </c>
      <c r="DK12" s="392">
        <v>390.32400000000001</v>
      </c>
      <c r="DL12" s="392">
        <v>401.72399999999993</v>
      </c>
      <c r="DM12" s="392">
        <v>432.774</v>
      </c>
      <c r="DN12" s="392">
        <v>378.58799999999997</v>
      </c>
      <c r="DO12" s="392">
        <v>405.36600000000004</v>
      </c>
      <c r="DP12" s="392">
        <v>434.904</v>
      </c>
      <c r="DQ12" s="392">
        <v>342.52800000000002</v>
      </c>
      <c r="DR12" s="392">
        <v>366.57</v>
      </c>
      <c r="DS12" s="392">
        <v>409.93799999999999</v>
      </c>
      <c r="DT12" s="392">
        <v>420.40800000000002</v>
      </c>
      <c r="DU12" s="392">
        <v>395.98199999999997</v>
      </c>
      <c r="DV12" s="392">
        <v>438.93</v>
      </c>
      <c r="DW12" s="392">
        <v>461.00400000000002</v>
      </c>
      <c r="DX12" s="392">
        <v>482.73</v>
      </c>
      <c r="DY12" s="392">
        <v>500.40599999999995</v>
      </c>
      <c r="DZ12" s="392">
        <v>477.37199999999996</v>
      </c>
      <c r="EA12" s="392">
        <v>478.66800000000001</v>
      </c>
      <c r="EB12" s="392">
        <v>508.24199999999996</v>
      </c>
      <c r="EC12" s="392">
        <v>435.44399999999996</v>
      </c>
      <c r="ED12" s="392">
        <v>463.72799999999995</v>
      </c>
      <c r="EE12" s="392">
        <v>524.83199999999999</v>
      </c>
      <c r="EF12" s="392">
        <v>546.58799999999997</v>
      </c>
      <c r="EG12" s="392">
        <v>527.57400000000007</v>
      </c>
      <c r="EH12" s="392">
        <v>556.404</v>
      </c>
      <c r="EI12" s="392">
        <v>523.83000000000004</v>
      </c>
      <c r="EJ12" s="392">
        <v>558.66</v>
      </c>
      <c r="EK12" s="392">
        <v>523.28399999999999</v>
      </c>
      <c r="EL12" s="392">
        <v>547.29599999999994</v>
      </c>
      <c r="EM12" s="392">
        <v>583.84199999999998</v>
      </c>
      <c r="EN12" s="392">
        <v>567.22799999999995</v>
      </c>
      <c r="EO12" s="392">
        <v>466.98</v>
      </c>
      <c r="EP12" s="392">
        <v>503.71800000000002</v>
      </c>
      <c r="EQ12" s="392">
        <v>520.80600000000004</v>
      </c>
      <c r="ER12" s="392">
        <v>558.76199999999994</v>
      </c>
      <c r="ES12" s="392">
        <v>565.428</v>
      </c>
      <c r="ET12" s="392">
        <v>576.48599999999999</v>
      </c>
      <c r="EU12" s="392">
        <v>507.56399999999996</v>
      </c>
      <c r="EV12" s="392">
        <v>577.37400000000002</v>
      </c>
      <c r="EW12" s="392">
        <v>572.58600000000001</v>
      </c>
      <c r="EX12" s="392">
        <v>550.428</v>
      </c>
      <c r="EY12" s="392">
        <v>573.26400000000001</v>
      </c>
      <c r="EZ12" s="392">
        <v>585.97799999999995</v>
      </c>
      <c r="FA12" s="392">
        <v>525.774</v>
      </c>
      <c r="FB12" s="392">
        <v>538.91399999999999</v>
      </c>
      <c r="FC12" s="392">
        <v>535.06200000000001</v>
      </c>
      <c r="FD12" s="392">
        <v>606.95400000000006</v>
      </c>
      <c r="FE12" s="392">
        <v>573.94200000000001</v>
      </c>
      <c r="FF12" s="392">
        <v>624.70799999999997</v>
      </c>
      <c r="FG12" s="392">
        <v>627.822</v>
      </c>
      <c r="FH12" s="392">
        <v>701.63400000000001</v>
      </c>
      <c r="FI12" s="392">
        <v>675.93000000000006</v>
      </c>
      <c r="FJ12" s="392">
        <v>705.39</v>
      </c>
      <c r="FK12" s="392">
        <v>691.54200000000003</v>
      </c>
      <c r="FL12" s="392">
        <v>735.54</v>
      </c>
      <c r="FM12" s="392">
        <v>601.98</v>
      </c>
      <c r="FN12" s="392">
        <v>553.70400000000006</v>
      </c>
      <c r="FO12" s="392">
        <v>569.89800000000002</v>
      </c>
      <c r="FP12" s="392">
        <v>595.86</v>
      </c>
      <c r="FQ12" s="392">
        <v>528.18600000000004</v>
      </c>
      <c r="FR12" s="392">
        <v>557.5440000000001</v>
      </c>
      <c r="FS12" s="392">
        <v>569.59800000000007</v>
      </c>
      <c r="FT12" s="392">
        <v>588.48599999999999</v>
      </c>
      <c r="FU12" s="392">
        <v>541.47</v>
      </c>
      <c r="FV12" s="392">
        <v>516.36</v>
      </c>
      <c r="FW12" s="392">
        <v>537.32400000000007</v>
      </c>
      <c r="FX12" s="392">
        <v>603.43200000000002</v>
      </c>
      <c r="FY12" s="392">
        <v>478.40999999999997</v>
      </c>
      <c r="FZ12" s="392">
        <v>458.41800000000001</v>
      </c>
      <c r="GA12" s="392">
        <v>517.03800000000001</v>
      </c>
      <c r="GB12" s="392">
        <v>534.15599999999995</v>
      </c>
      <c r="GC12" s="392">
        <v>488.93999999999994</v>
      </c>
      <c r="GD12" s="392">
        <v>517.50600000000009</v>
      </c>
      <c r="GE12" s="392">
        <v>419.34000000000003</v>
      </c>
      <c r="GF12" s="392">
        <v>473.10599999999999</v>
      </c>
      <c r="GG12" s="392">
        <v>473.66399999999999</v>
      </c>
      <c r="GH12" s="392">
        <v>442.70400000000006</v>
      </c>
      <c r="GI12" s="392">
        <v>503.95799999999997</v>
      </c>
      <c r="GJ12" s="392">
        <v>551.77200000000005</v>
      </c>
      <c r="GK12" s="392">
        <v>464.00400000000002</v>
      </c>
      <c r="GL12" s="392">
        <v>443.92199999999997</v>
      </c>
      <c r="GM12" s="392">
        <v>461.41800000000001</v>
      </c>
      <c r="GN12" s="392">
        <v>481.41600000000005</v>
      </c>
      <c r="GO12" s="392">
        <v>454.53</v>
      </c>
      <c r="GP12" s="392">
        <v>523.23</v>
      </c>
      <c r="GQ12" s="392">
        <v>525.86400000000003</v>
      </c>
      <c r="GR12" s="392">
        <v>516.64200000000005</v>
      </c>
      <c r="GS12" s="392">
        <v>530.48400000000004</v>
      </c>
      <c r="GT12" s="392">
        <v>491.65800000000002</v>
      </c>
      <c r="GU12" s="392">
        <v>569.95799999999997</v>
      </c>
      <c r="GV12" s="392">
        <v>575.71800000000007</v>
      </c>
      <c r="GW12" s="392">
        <v>432.024</v>
      </c>
      <c r="GX12" s="392">
        <v>434.226</v>
      </c>
      <c r="GY12" s="392">
        <v>474.49199999999996</v>
      </c>
      <c r="GZ12" s="392">
        <v>460.05600000000004</v>
      </c>
      <c r="HA12" s="392">
        <v>468.96</v>
      </c>
      <c r="HB12" s="392">
        <v>542.72399999999993</v>
      </c>
      <c r="HC12" s="392">
        <v>531.68999999999994</v>
      </c>
      <c r="HD12" s="392">
        <v>545.00400000000002</v>
      </c>
      <c r="HE12" s="392">
        <v>484.48199999999997</v>
      </c>
      <c r="HF12" s="392">
        <v>460.57800000000003</v>
      </c>
      <c r="HG12" s="392">
        <v>491.79</v>
      </c>
      <c r="HH12" s="392">
        <v>528.59400000000005</v>
      </c>
      <c r="HI12" s="392">
        <v>397.90199999999993</v>
      </c>
      <c r="HJ12" s="392">
        <v>456.90599999999995</v>
      </c>
      <c r="HK12" s="392">
        <v>506.81399999999996</v>
      </c>
      <c r="HL12" s="392">
        <v>529.32600000000002</v>
      </c>
      <c r="HM12" s="392">
        <v>490.86600000000004</v>
      </c>
      <c r="HN12" s="392">
        <v>540.798</v>
      </c>
      <c r="HO12" s="392">
        <v>473.37</v>
      </c>
      <c r="HP12" s="444">
        <v>526.13400000000001</v>
      </c>
      <c r="HQ12" s="444">
        <v>522.76800000000003</v>
      </c>
      <c r="HR12" s="444">
        <v>501.29999999999995</v>
      </c>
      <c r="HS12" s="444">
        <v>528.89400000000001</v>
      </c>
      <c r="HT12" s="444">
        <v>509.97</v>
      </c>
      <c r="HU12" s="444">
        <v>388.58399999999995</v>
      </c>
      <c r="HV12" s="392">
        <v>404.274</v>
      </c>
      <c r="HW12" s="392">
        <v>473.74799999999999</v>
      </c>
      <c r="HX12" s="392">
        <v>493.97399999999993</v>
      </c>
      <c r="HY12" s="392">
        <v>409.90199999999993</v>
      </c>
      <c r="HZ12" s="392">
        <v>432.40800000000002</v>
      </c>
      <c r="IA12" s="392">
        <v>409.58399999999995</v>
      </c>
      <c r="IB12" s="392">
        <v>436.10399999999998</v>
      </c>
      <c r="IC12" s="392">
        <v>444.23400000000004</v>
      </c>
      <c r="ID12" s="392">
        <v>423.24</v>
      </c>
      <c r="IE12" s="392">
        <v>455.70000000000005</v>
      </c>
      <c r="IF12" s="392">
        <v>459.59999999999997</v>
      </c>
      <c r="IG12" s="392">
        <v>417.16800000000001</v>
      </c>
      <c r="IH12" s="392">
        <v>404.43600000000004</v>
      </c>
      <c r="II12" s="392">
        <v>472.44600000000003</v>
      </c>
      <c r="IJ12" s="392">
        <v>522.04200000000003</v>
      </c>
      <c r="IK12" s="392">
        <v>490.21800000000002</v>
      </c>
      <c r="IL12" s="392">
        <v>531.87599999999998</v>
      </c>
      <c r="IM12" s="392">
        <v>534.82799999999997</v>
      </c>
      <c r="IN12" s="444">
        <v>542.976</v>
      </c>
      <c r="IO12" s="444">
        <v>585.096</v>
      </c>
      <c r="IP12" s="444">
        <v>537.07799999999997</v>
      </c>
      <c r="IQ12" s="444">
        <v>561.26400000000001</v>
      </c>
      <c r="IR12" s="444">
        <v>557.28600000000006</v>
      </c>
      <c r="IS12" s="444">
        <v>458.19600000000003</v>
      </c>
      <c r="IT12" s="444">
        <v>430.608</v>
      </c>
      <c r="IU12" s="444">
        <v>513.31799999999998</v>
      </c>
      <c r="IV12" s="444">
        <v>551.38200000000006</v>
      </c>
      <c r="IW12" s="445">
        <v>511.76400000000001</v>
      </c>
      <c r="IX12" s="445">
        <v>532.98800000000006</v>
      </c>
      <c r="IY12" s="445">
        <v>497.298</v>
      </c>
      <c r="IZ12" s="445">
        <v>588.77200000000005</v>
      </c>
      <c r="JA12" s="445">
        <v>702.47</v>
      </c>
      <c r="JB12" s="445">
        <v>640.03399999999999</v>
      </c>
      <c r="JC12" s="445">
        <v>582.94799999999998</v>
      </c>
      <c r="JD12" s="445">
        <v>571.61</v>
      </c>
      <c r="JE12" s="446">
        <v>676.67600000000004</v>
      </c>
    </row>
    <row r="13" spans="1:519" x14ac:dyDescent="0.3">
      <c r="A13" s="394" t="s">
        <v>86</v>
      </c>
      <c r="B13" s="395">
        <v>597.06000000000006</v>
      </c>
      <c r="C13" s="395">
        <v>606.49199999999996</v>
      </c>
      <c r="D13" s="395">
        <v>638.178</v>
      </c>
      <c r="E13" s="395">
        <v>663.93000000000006</v>
      </c>
      <c r="F13" s="395">
        <v>674.08199999999999</v>
      </c>
      <c r="G13" s="395">
        <v>623.95799999999997</v>
      </c>
      <c r="H13" s="395">
        <v>634.404</v>
      </c>
      <c r="I13" s="395">
        <v>652.51800000000003</v>
      </c>
      <c r="J13" s="395">
        <v>623.14200000000005</v>
      </c>
      <c r="K13" s="395">
        <v>638.41200000000003</v>
      </c>
      <c r="L13" s="395">
        <v>619.89</v>
      </c>
      <c r="M13" s="395">
        <v>592.36200000000008</v>
      </c>
      <c r="N13" s="395">
        <v>593.976</v>
      </c>
      <c r="O13" s="395">
        <v>471.40800000000002</v>
      </c>
      <c r="P13" s="395">
        <v>696.73800000000006</v>
      </c>
      <c r="Q13" s="395">
        <v>615.36</v>
      </c>
      <c r="R13" s="395">
        <v>662.40000000000009</v>
      </c>
      <c r="S13" s="395">
        <v>631.90199999999993</v>
      </c>
      <c r="T13" s="395">
        <v>615.22199999999998</v>
      </c>
      <c r="U13" s="395">
        <v>522.68999999999994</v>
      </c>
      <c r="V13" s="395">
        <v>611.54999999999995</v>
      </c>
      <c r="W13" s="395">
        <v>670.56600000000003</v>
      </c>
      <c r="X13" s="395">
        <v>631.524</v>
      </c>
      <c r="Y13" s="395">
        <v>593.94600000000003</v>
      </c>
      <c r="Z13" s="395">
        <v>587.02800000000002</v>
      </c>
      <c r="AA13" s="395">
        <v>556.11</v>
      </c>
      <c r="AB13" s="395">
        <v>625.87199999999996</v>
      </c>
      <c r="AC13" s="395">
        <v>658.86</v>
      </c>
      <c r="AD13" s="395">
        <v>600.18600000000004</v>
      </c>
      <c r="AE13" s="395">
        <v>590.23199999999997</v>
      </c>
      <c r="AF13" s="395">
        <v>614.43000000000006</v>
      </c>
      <c r="AG13" s="395">
        <v>551.35799999999995</v>
      </c>
      <c r="AH13" s="395">
        <v>550.47</v>
      </c>
      <c r="AI13" s="395">
        <v>555.15599999999995</v>
      </c>
      <c r="AJ13" s="395">
        <v>365.68799999999999</v>
      </c>
      <c r="AK13" s="395">
        <v>300.56400000000002</v>
      </c>
      <c r="AL13" s="395">
        <v>320.02200000000005</v>
      </c>
      <c r="AM13" s="395">
        <v>326.346</v>
      </c>
      <c r="AN13" s="395">
        <v>336.27600000000001</v>
      </c>
      <c r="AO13" s="395">
        <v>359.85599999999999</v>
      </c>
      <c r="AP13" s="395">
        <v>388.36799999999994</v>
      </c>
      <c r="AQ13" s="395">
        <v>415.18799999999999</v>
      </c>
      <c r="AR13" s="395">
        <v>397.11600000000004</v>
      </c>
      <c r="AS13" s="395">
        <v>431.37</v>
      </c>
      <c r="AT13" s="395">
        <v>458.93400000000003</v>
      </c>
      <c r="AU13" s="395">
        <v>458.65800000000002</v>
      </c>
      <c r="AV13" s="395">
        <v>481.22399999999993</v>
      </c>
      <c r="AW13" s="395">
        <v>449.52600000000007</v>
      </c>
      <c r="AX13" s="395">
        <v>515.346</v>
      </c>
      <c r="AY13" s="395">
        <v>516.654</v>
      </c>
      <c r="AZ13" s="395">
        <v>520.35599999999999</v>
      </c>
      <c r="BA13" s="395">
        <v>539.07600000000002</v>
      </c>
      <c r="BB13" s="395">
        <v>542.50800000000004</v>
      </c>
      <c r="BC13" s="395">
        <v>549.58199999999999</v>
      </c>
      <c r="BD13" s="395">
        <v>578.09999999999991</v>
      </c>
      <c r="BE13" s="395">
        <v>582.13200000000006</v>
      </c>
      <c r="BF13" s="395">
        <v>709.38</v>
      </c>
      <c r="BG13" s="395">
        <v>727.13400000000001</v>
      </c>
      <c r="BH13" s="395">
        <v>718.77</v>
      </c>
      <c r="BI13" s="395">
        <v>621.75</v>
      </c>
      <c r="BJ13" s="395">
        <v>657.49800000000005</v>
      </c>
      <c r="BK13" s="395">
        <v>658.86</v>
      </c>
      <c r="BL13" s="395">
        <v>777.08400000000006</v>
      </c>
      <c r="BM13" s="395">
        <v>791.02199999999993</v>
      </c>
      <c r="BN13" s="395">
        <v>911.65200000000004</v>
      </c>
      <c r="BO13" s="395">
        <v>734.37599999999998</v>
      </c>
      <c r="BP13" s="395">
        <v>733.10400000000004</v>
      </c>
      <c r="BQ13" s="395">
        <v>764.67</v>
      </c>
      <c r="BR13" s="395">
        <v>769.09799999999996</v>
      </c>
      <c r="BS13" s="395">
        <v>776.43000000000006</v>
      </c>
      <c r="BT13" s="395">
        <v>809.45399999999995</v>
      </c>
      <c r="BU13" s="395">
        <v>762.43200000000002</v>
      </c>
      <c r="BV13" s="395">
        <v>854.53199999999993</v>
      </c>
      <c r="BW13" s="395">
        <v>907.84199999999987</v>
      </c>
      <c r="BX13" s="395">
        <v>929.02800000000002</v>
      </c>
      <c r="BY13" s="395">
        <v>959.09399999999994</v>
      </c>
      <c r="BZ13" s="395">
        <v>969.59399999999994</v>
      </c>
      <c r="CA13" s="395">
        <v>918.2940000000001</v>
      </c>
      <c r="CB13" s="395">
        <v>979.94400000000007</v>
      </c>
      <c r="CC13" s="395">
        <v>991.83</v>
      </c>
      <c r="CD13" s="395">
        <v>1026.8879999999999</v>
      </c>
      <c r="CE13" s="395">
        <v>1073.8679999999999</v>
      </c>
      <c r="CF13" s="395">
        <v>1117.806</v>
      </c>
      <c r="CG13" s="395">
        <v>1108.296</v>
      </c>
      <c r="CH13" s="395">
        <v>1156.1279999999999</v>
      </c>
      <c r="CI13" s="395">
        <v>1170.816</v>
      </c>
      <c r="CJ13" s="395">
        <v>1160.4960000000001</v>
      </c>
      <c r="CK13" s="395">
        <v>1116.7919999999999</v>
      </c>
      <c r="CL13" s="395">
        <v>1158.3720000000001</v>
      </c>
      <c r="CM13" s="395">
        <v>1161.99</v>
      </c>
      <c r="CN13" s="395">
        <v>1195.8419999999999</v>
      </c>
      <c r="CO13" s="395">
        <v>1466.124</v>
      </c>
      <c r="CP13" s="395">
        <v>1119.672</v>
      </c>
      <c r="CQ13" s="395">
        <v>1139.9639999999999</v>
      </c>
      <c r="CR13" s="395">
        <v>1054.902</v>
      </c>
      <c r="CS13" s="395">
        <v>1073.3879999999999</v>
      </c>
      <c r="CT13" s="395">
        <v>926.47800000000007</v>
      </c>
      <c r="CU13" s="395">
        <v>868.14599999999996</v>
      </c>
      <c r="CV13" s="395">
        <v>909.94200000000001</v>
      </c>
      <c r="CW13" s="395">
        <v>851.59199999999987</v>
      </c>
      <c r="CX13" s="395">
        <v>864.13799999999992</v>
      </c>
      <c r="CY13" s="395">
        <v>848.97600000000011</v>
      </c>
      <c r="CZ13" s="395">
        <v>861.18600000000004</v>
      </c>
      <c r="DA13" s="395">
        <v>845.13599999999997</v>
      </c>
      <c r="DB13" s="395">
        <v>836.62799999999993</v>
      </c>
      <c r="DC13" s="395">
        <v>870.94799999999987</v>
      </c>
      <c r="DD13" s="395">
        <v>858.798</v>
      </c>
      <c r="DE13" s="395">
        <v>864.02399999999989</v>
      </c>
      <c r="DF13" s="395">
        <v>708.25199999999995</v>
      </c>
      <c r="DG13" s="395">
        <v>778.78199999999993</v>
      </c>
      <c r="DH13" s="395">
        <v>831.07799999999997</v>
      </c>
      <c r="DI13" s="395">
        <v>854.30399999999986</v>
      </c>
      <c r="DJ13" s="395">
        <v>890.65200000000004</v>
      </c>
      <c r="DK13" s="395">
        <v>899.83800000000008</v>
      </c>
      <c r="DL13" s="395">
        <v>921.93600000000004</v>
      </c>
      <c r="DM13" s="395">
        <v>926.48399999999992</v>
      </c>
      <c r="DN13" s="395">
        <v>845.298</v>
      </c>
      <c r="DO13" s="395">
        <v>905.35199999999998</v>
      </c>
      <c r="DP13" s="395">
        <v>936.15000000000009</v>
      </c>
      <c r="DQ13" s="395">
        <v>988.87200000000007</v>
      </c>
      <c r="DR13" s="395">
        <v>1016.0939999999999</v>
      </c>
      <c r="DS13" s="395">
        <v>953.97600000000011</v>
      </c>
      <c r="DT13" s="395">
        <v>1076.442</v>
      </c>
      <c r="DU13" s="395">
        <v>852.87599999999998</v>
      </c>
      <c r="DV13" s="395">
        <v>1077.5340000000001</v>
      </c>
      <c r="DW13" s="395">
        <v>1101.18</v>
      </c>
      <c r="DX13" s="395">
        <v>1139.874</v>
      </c>
      <c r="DY13" s="395">
        <v>1141.7640000000001</v>
      </c>
      <c r="DZ13" s="395">
        <v>1151.616</v>
      </c>
      <c r="EA13" s="395">
        <v>1131.0120000000002</v>
      </c>
      <c r="EB13" s="395">
        <v>1172.922</v>
      </c>
      <c r="EC13" s="395">
        <v>1127.9939999999999</v>
      </c>
      <c r="ED13" s="395">
        <v>1176.7139999999999</v>
      </c>
      <c r="EE13" s="395">
        <v>1175.52</v>
      </c>
      <c r="EF13" s="395">
        <v>1205.2560000000001</v>
      </c>
      <c r="EG13" s="395">
        <v>1151.4780000000001</v>
      </c>
      <c r="EH13" s="395">
        <v>1297.1220000000001</v>
      </c>
      <c r="EI13" s="395">
        <v>1237.26</v>
      </c>
      <c r="EJ13" s="395">
        <v>1296.8820000000001</v>
      </c>
      <c r="EK13" s="395">
        <v>1336.1399999999999</v>
      </c>
      <c r="EL13" s="395">
        <v>1278.684</v>
      </c>
      <c r="EM13" s="395">
        <v>1336.704</v>
      </c>
      <c r="EN13" s="395">
        <v>1234.422</v>
      </c>
      <c r="EO13" s="395">
        <v>1189.722</v>
      </c>
      <c r="EP13" s="395">
        <v>1209.954</v>
      </c>
      <c r="EQ13" s="395">
        <v>1183.9380000000001</v>
      </c>
      <c r="ER13" s="395">
        <v>1284.1200000000001</v>
      </c>
      <c r="ES13" s="395">
        <v>1264.2719999999999</v>
      </c>
      <c r="ET13" s="395">
        <v>1328.04</v>
      </c>
      <c r="EU13" s="395">
        <v>1281.576</v>
      </c>
      <c r="EV13" s="395">
        <v>1335.9179999999999</v>
      </c>
      <c r="EW13" s="395">
        <v>1324.2840000000001</v>
      </c>
      <c r="EX13" s="395">
        <v>1263.51</v>
      </c>
      <c r="EY13" s="395">
        <v>1347.1200000000001</v>
      </c>
      <c r="EZ13" s="395">
        <v>1275.894</v>
      </c>
      <c r="FA13" s="395">
        <v>1266.078</v>
      </c>
      <c r="FB13" s="395">
        <v>1290.1679999999999</v>
      </c>
      <c r="FC13" s="395">
        <v>1200.33</v>
      </c>
      <c r="FD13" s="395">
        <v>1214.6279999999999</v>
      </c>
      <c r="FE13" s="395">
        <v>920.38799999999992</v>
      </c>
      <c r="FF13" s="395">
        <v>994.1880000000001</v>
      </c>
      <c r="FG13" s="395">
        <v>978.30599999999993</v>
      </c>
      <c r="FH13" s="395">
        <v>1035.2460000000001</v>
      </c>
      <c r="FI13" s="395">
        <v>1161.8039999999999</v>
      </c>
      <c r="FJ13" s="395">
        <v>1141.434</v>
      </c>
      <c r="FK13" s="395">
        <v>1168.8600000000001</v>
      </c>
      <c r="FL13" s="395">
        <v>1114.0440000000001</v>
      </c>
      <c r="FM13" s="395">
        <v>1088.184</v>
      </c>
      <c r="FN13" s="395">
        <v>1087.5720000000001</v>
      </c>
      <c r="FO13" s="395">
        <v>964.27199999999993</v>
      </c>
      <c r="FP13" s="395">
        <v>1021.998</v>
      </c>
      <c r="FQ13" s="395">
        <v>986.38199999999995</v>
      </c>
      <c r="FR13" s="395">
        <v>1023.1500000000001</v>
      </c>
      <c r="FS13" s="395">
        <v>992.74800000000005</v>
      </c>
      <c r="FT13" s="395">
        <v>1022.9760000000001</v>
      </c>
      <c r="FU13" s="395">
        <v>1014</v>
      </c>
      <c r="FV13" s="395">
        <v>947.87999999999988</v>
      </c>
      <c r="FW13" s="395">
        <v>979.80000000000007</v>
      </c>
      <c r="FX13" s="395">
        <v>960.62999999999988</v>
      </c>
      <c r="FY13" s="395">
        <v>976.64400000000001</v>
      </c>
      <c r="FZ13" s="395">
        <v>926.71199999999999</v>
      </c>
      <c r="GA13" s="395">
        <v>899.53800000000001</v>
      </c>
      <c r="GB13" s="395">
        <v>917.64599999999996</v>
      </c>
      <c r="GC13" s="395">
        <v>863.80799999999999</v>
      </c>
      <c r="GD13" s="395">
        <v>905.63400000000001</v>
      </c>
      <c r="GE13" s="395">
        <v>903.12599999999998</v>
      </c>
      <c r="GF13" s="395">
        <v>909.60599999999999</v>
      </c>
      <c r="GG13" s="395">
        <v>919.94400000000007</v>
      </c>
      <c r="GH13" s="395">
        <v>869.35799999999995</v>
      </c>
      <c r="GI13" s="395">
        <v>872.346</v>
      </c>
      <c r="GJ13" s="395">
        <v>879.13799999999992</v>
      </c>
      <c r="GK13" s="395">
        <v>848.53199999999993</v>
      </c>
      <c r="GL13" s="395">
        <v>847.68000000000006</v>
      </c>
      <c r="GM13" s="395">
        <v>795.02399999999989</v>
      </c>
      <c r="GN13" s="395">
        <v>885.97199999999998</v>
      </c>
      <c r="GO13" s="395">
        <v>735.36</v>
      </c>
      <c r="GP13" s="395">
        <v>791.75400000000002</v>
      </c>
      <c r="GQ13" s="395">
        <v>787.83</v>
      </c>
      <c r="GR13" s="395">
        <v>804.42599999999993</v>
      </c>
      <c r="GS13" s="395">
        <v>794.43600000000004</v>
      </c>
      <c r="GT13" s="395">
        <v>788.46</v>
      </c>
      <c r="GU13" s="395">
        <v>827.96399999999994</v>
      </c>
      <c r="GV13" s="395">
        <v>840.46800000000007</v>
      </c>
      <c r="GW13" s="395">
        <v>827.58</v>
      </c>
      <c r="GX13" s="395">
        <v>858.048</v>
      </c>
      <c r="GY13" s="395">
        <v>797.12999999999988</v>
      </c>
      <c r="GZ13" s="395">
        <v>898.78199999999993</v>
      </c>
      <c r="HA13" s="395">
        <v>851.61599999999999</v>
      </c>
      <c r="HB13" s="395">
        <v>913.00800000000004</v>
      </c>
      <c r="HC13" s="395">
        <v>866.28600000000006</v>
      </c>
      <c r="HD13" s="395">
        <v>894.58800000000008</v>
      </c>
      <c r="HE13" s="395">
        <v>916.31399999999996</v>
      </c>
      <c r="HF13" s="395">
        <v>898.47</v>
      </c>
      <c r="HG13" s="395">
        <v>918.702</v>
      </c>
      <c r="HH13" s="395">
        <v>783.46199999999999</v>
      </c>
      <c r="HI13" s="395">
        <v>874.74599999999998</v>
      </c>
      <c r="HJ13" s="395">
        <v>919.72199999999998</v>
      </c>
      <c r="HK13" s="395">
        <v>859.77</v>
      </c>
      <c r="HL13" s="395">
        <v>901.98</v>
      </c>
      <c r="HM13" s="395">
        <v>762.33600000000001</v>
      </c>
      <c r="HN13" s="395">
        <v>847.73399999999992</v>
      </c>
      <c r="HO13" s="395">
        <v>818.85599999999999</v>
      </c>
      <c r="HP13" s="395">
        <v>857.35799999999995</v>
      </c>
      <c r="HQ13" s="395">
        <v>865.62000000000012</v>
      </c>
      <c r="HR13" s="395">
        <v>727.84800000000007</v>
      </c>
      <c r="HS13" s="395">
        <v>872.91599999999994</v>
      </c>
      <c r="HT13" s="395">
        <v>847.90200000000004</v>
      </c>
      <c r="HU13" s="395">
        <v>630.19799999999998</v>
      </c>
      <c r="HV13" s="395">
        <v>567.726</v>
      </c>
      <c r="HW13" s="395">
        <v>551.96399999999994</v>
      </c>
      <c r="HX13" s="395">
        <v>578.64</v>
      </c>
      <c r="HY13" s="395">
        <v>553.83000000000004</v>
      </c>
      <c r="HZ13" s="395">
        <v>593.61599999999999</v>
      </c>
      <c r="IA13" s="395">
        <v>574.74599999999998</v>
      </c>
      <c r="IB13" s="395">
        <v>604.18200000000002</v>
      </c>
      <c r="IC13" s="395">
        <v>609.25800000000004</v>
      </c>
      <c r="ID13" s="395">
        <v>589.12800000000004</v>
      </c>
      <c r="IE13" s="395">
        <v>613.98</v>
      </c>
      <c r="IF13" s="395">
        <v>582.13200000000006</v>
      </c>
      <c r="IG13" s="395">
        <v>547.77600000000007</v>
      </c>
      <c r="IH13" s="395">
        <v>560.99399999999991</v>
      </c>
      <c r="II13" s="395">
        <v>531.08399999999995</v>
      </c>
      <c r="IJ13" s="395">
        <v>596.07600000000002</v>
      </c>
      <c r="IK13" s="395">
        <v>646.47</v>
      </c>
      <c r="IL13" s="395">
        <v>617.76599999999996</v>
      </c>
      <c r="IM13" s="395">
        <v>585.15000000000009</v>
      </c>
      <c r="IN13" s="15">
        <v>606.59999999999991</v>
      </c>
      <c r="IO13" s="15">
        <v>608.71199999999999</v>
      </c>
      <c r="IP13" s="15">
        <v>612.46800000000007</v>
      </c>
      <c r="IQ13" s="15">
        <v>641.65199999999993</v>
      </c>
      <c r="IR13" s="15">
        <v>639.52200000000005</v>
      </c>
      <c r="IS13" s="15">
        <v>647.12400000000002</v>
      </c>
      <c r="IT13" s="15">
        <v>649.29599999999994</v>
      </c>
      <c r="IU13" s="15">
        <v>590.67599999999993</v>
      </c>
      <c r="IV13" s="15">
        <v>659.67</v>
      </c>
      <c r="IW13" s="15">
        <v>646.03800000000001</v>
      </c>
      <c r="IX13" s="15">
        <v>684.35599999999999</v>
      </c>
      <c r="IY13" s="15">
        <v>610.43399999999997</v>
      </c>
      <c r="IZ13" s="15">
        <v>649.74599999999998</v>
      </c>
      <c r="JA13" s="15">
        <v>645.45000000000005</v>
      </c>
      <c r="JB13" s="15">
        <v>505.26</v>
      </c>
      <c r="JC13" s="15">
        <v>353.12200000000001</v>
      </c>
      <c r="JD13" s="15">
        <v>366.09399999999999</v>
      </c>
      <c r="JE13" s="447">
        <v>384.858</v>
      </c>
    </row>
    <row r="14" spans="1:519" x14ac:dyDescent="0.3">
      <c r="A14" s="394" t="s">
        <v>181</v>
      </c>
      <c r="B14" s="392">
        <v>588.35400000000004</v>
      </c>
      <c r="C14" s="392">
        <v>557.95799999999997</v>
      </c>
      <c r="D14" s="392">
        <v>618.24</v>
      </c>
      <c r="E14" s="392">
        <v>575.56799999999998</v>
      </c>
      <c r="F14" s="392">
        <v>633.798</v>
      </c>
      <c r="G14" s="392">
        <v>592.38599999999997</v>
      </c>
      <c r="H14" s="392">
        <v>610.77600000000007</v>
      </c>
      <c r="I14" s="392">
        <v>659.64</v>
      </c>
      <c r="J14" s="392">
        <v>610.36200000000008</v>
      </c>
      <c r="K14" s="392">
        <v>717.846</v>
      </c>
      <c r="L14" s="392">
        <v>648.68399999999997</v>
      </c>
      <c r="M14" s="392">
        <v>779.05799999999999</v>
      </c>
      <c r="N14" s="392">
        <v>772.87200000000007</v>
      </c>
      <c r="O14" s="392">
        <v>595.548</v>
      </c>
      <c r="P14" s="392">
        <v>694.572</v>
      </c>
      <c r="Q14" s="392">
        <v>676.71600000000001</v>
      </c>
      <c r="R14" s="392">
        <v>725.48400000000004</v>
      </c>
      <c r="S14" s="392">
        <v>744.24</v>
      </c>
      <c r="T14" s="392">
        <v>760.75800000000004</v>
      </c>
      <c r="U14" s="392">
        <v>758.50800000000004</v>
      </c>
      <c r="V14" s="392">
        <v>698.57400000000007</v>
      </c>
      <c r="W14" s="392">
        <v>740.67</v>
      </c>
      <c r="X14" s="392">
        <v>739.73400000000004</v>
      </c>
      <c r="Y14" s="392">
        <v>723.726</v>
      </c>
      <c r="Z14" s="392">
        <v>726.34199999999998</v>
      </c>
      <c r="AA14" s="392">
        <v>668.84400000000005</v>
      </c>
      <c r="AB14" s="392">
        <v>712.53</v>
      </c>
      <c r="AC14" s="392">
        <v>687.702</v>
      </c>
      <c r="AD14" s="392">
        <v>843.36599999999999</v>
      </c>
      <c r="AE14" s="392">
        <v>639.34800000000007</v>
      </c>
      <c r="AF14" s="392">
        <v>644.40000000000009</v>
      </c>
      <c r="AG14" s="392">
        <v>630.72</v>
      </c>
      <c r="AH14" s="392">
        <v>658.05600000000004</v>
      </c>
      <c r="AI14" s="392">
        <v>743.39400000000001</v>
      </c>
      <c r="AJ14" s="392">
        <v>763.74599999999998</v>
      </c>
      <c r="AK14" s="392">
        <v>689.5440000000001</v>
      </c>
      <c r="AL14" s="392">
        <v>685.65000000000009</v>
      </c>
      <c r="AM14" s="392">
        <v>689.84999999999991</v>
      </c>
      <c r="AN14" s="392">
        <v>720.68399999999997</v>
      </c>
      <c r="AO14" s="392">
        <v>689.46</v>
      </c>
      <c r="AP14" s="392">
        <v>697.08600000000001</v>
      </c>
      <c r="AQ14" s="392">
        <v>903.07799999999997</v>
      </c>
      <c r="AR14" s="392">
        <v>928.2059999999999</v>
      </c>
      <c r="AS14" s="392">
        <v>970.47</v>
      </c>
      <c r="AT14" s="392">
        <v>932.31600000000003</v>
      </c>
      <c r="AU14" s="392">
        <v>729.59999999999991</v>
      </c>
      <c r="AV14" s="392">
        <v>736.69799999999998</v>
      </c>
      <c r="AW14" s="392">
        <v>659.81399999999996</v>
      </c>
      <c r="AX14" s="392">
        <v>823.06799999999998</v>
      </c>
      <c r="AY14" s="392">
        <v>858.70799999999997</v>
      </c>
      <c r="AZ14" s="392">
        <v>884.83800000000008</v>
      </c>
      <c r="BA14" s="392">
        <v>928.80000000000007</v>
      </c>
      <c r="BB14" s="392">
        <v>979.00199999999995</v>
      </c>
      <c r="BC14" s="392">
        <v>998.14200000000005</v>
      </c>
      <c r="BD14" s="392">
        <v>982.80000000000007</v>
      </c>
      <c r="BE14" s="392">
        <v>858.64800000000002</v>
      </c>
      <c r="BF14" s="392">
        <v>954.83400000000006</v>
      </c>
      <c r="BG14" s="392">
        <v>904.05000000000007</v>
      </c>
      <c r="BH14" s="392">
        <v>937.53600000000006</v>
      </c>
      <c r="BI14" s="392">
        <v>924.68399999999997</v>
      </c>
      <c r="BJ14" s="392">
        <v>917.53199999999993</v>
      </c>
      <c r="BK14" s="392">
        <v>919.51799999999992</v>
      </c>
      <c r="BL14" s="392">
        <v>951.27</v>
      </c>
      <c r="BM14" s="392">
        <v>905.50800000000004</v>
      </c>
      <c r="BN14" s="392">
        <v>959.99399999999991</v>
      </c>
      <c r="BO14" s="392">
        <v>927.56399999999996</v>
      </c>
      <c r="BP14" s="392">
        <v>964.62599999999998</v>
      </c>
      <c r="BQ14" s="392">
        <v>977.12999999999988</v>
      </c>
      <c r="BR14" s="392">
        <v>948.44999999999993</v>
      </c>
      <c r="BS14" s="392">
        <v>1006.3320000000001</v>
      </c>
      <c r="BT14" s="392">
        <v>1053.1619999999998</v>
      </c>
      <c r="BU14" s="392">
        <v>953.202</v>
      </c>
      <c r="BV14" s="392">
        <v>894.83999999999992</v>
      </c>
      <c r="BW14" s="392">
        <v>910.92</v>
      </c>
      <c r="BX14" s="392">
        <v>1018.9859999999999</v>
      </c>
      <c r="BY14" s="392">
        <v>1030.4580000000001</v>
      </c>
      <c r="BZ14" s="392">
        <v>1001.646</v>
      </c>
      <c r="CA14" s="392">
        <v>1030.83</v>
      </c>
      <c r="CB14" s="392">
        <v>1056.8519999999999</v>
      </c>
      <c r="CC14" s="392">
        <v>1093.44</v>
      </c>
      <c r="CD14" s="392">
        <v>1090.896</v>
      </c>
      <c r="CE14" s="392">
        <v>1140.018</v>
      </c>
      <c r="CF14" s="392">
        <v>1120.92</v>
      </c>
      <c r="CG14" s="392">
        <v>1088.346</v>
      </c>
      <c r="CH14" s="392">
        <v>1105.9740000000002</v>
      </c>
      <c r="CI14" s="392">
        <v>1100.0820000000001</v>
      </c>
      <c r="CJ14" s="392">
        <v>1143.066</v>
      </c>
      <c r="CK14" s="392">
        <v>1111.692</v>
      </c>
      <c r="CL14" s="392">
        <v>1088.8499999999999</v>
      </c>
      <c r="CM14" s="392">
        <v>1264.692</v>
      </c>
      <c r="CN14" s="392">
        <v>1132.6979999999999</v>
      </c>
      <c r="CO14" s="392">
        <v>1107.0539999999999</v>
      </c>
      <c r="CP14" s="392">
        <v>1123.434</v>
      </c>
      <c r="CQ14" s="392">
        <v>1116.864</v>
      </c>
      <c r="CR14" s="392">
        <v>1094.3820000000001</v>
      </c>
      <c r="CS14" s="392">
        <v>1066.296</v>
      </c>
      <c r="CT14" s="392">
        <v>1018.23</v>
      </c>
      <c r="CU14" s="392">
        <v>845.65800000000013</v>
      </c>
      <c r="CV14" s="392">
        <v>831.70799999999997</v>
      </c>
      <c r="CW14" s="392">
        <v>839.67</v>
      </c>
      <c r="CX14" s="392">
        <v>997.56</v>
      </c>
      <c r="CY14" s="392">
        <v>835.78800000000001</v>
      </c>
      <c r="CZ14" s="392">
        <v>774.48</v>
      </c>
      <c r="DA14" s="392">
        <v>779.60400000000004</v>
      </c>
      <c r="DB14" s="392">
        <v>761.60400000000004</v>
      </c>
      <c r="DC14" s="392">
        <v>761.68799999999999</v>
      </c>
      <c r="DD14" s="392">
        <v>777</v>
      </c>
      <c r="DE14" s="392">
        <v>673.02600000000007</v>
      </c>
      <c r="DF14" s="392">
        <v>661.26599999999996</v>
      </c>
      <c r="DG14" s="392">
        <v>644.07600000000002</v>
      </c>
      <c r="DH14" s="392">
        <v>719.44200000000001</v>
      </c>
      <c r="DI14" s="392">
        <v>671.226</v>
      </c>
      <c r="DJ14" s="392">
        <v>699.19200000000001</v>
      </c>
      <c r="DK14" s="392">
        <v>703.31999999999994</v>
      </c>
      <c r="DL14" s="392">
        <v>736.67399999999998</v>
      </c>
      <c r="DM14" s="392">
        <v>744.75600000000009</v>
      </c>
      <c r="DN14" s="392">
        <v>732.72</v>
      </c>
      <c r="DO14" s="392">
        <v>767.40000000000009</v>
      </c>
      <c r="DP14" s="392">
        <v>785.71199999999999</v>
      </c>
      <c r="DQ14" s="392">
        <v>798.87000000000012</v>
      </c>
      <c r="DR14" s="392">
        <v>729.33600000000001</v>
      </c>
      <c r="DS14" s="392">
        <v>666.61200000000008</v>
      </c>
      <c r="DT14" s="392">
        <v>749.53199999999993</v>
      </c>
      <c r="DU14" s="392">
        <v>706.86</v>
      </c>
      <c r="DV14" s="392">
        <v>732.81000000000006</v>
      </c>
      <c r="DW14" s="392">
        <v>714.61200000000008</v>
      </c>
      <c r="DX14" s="392">
        <v>715.08600000000001</v>
      </c>
      <c r="DY14" s="392">
        <v>741.28199999999993</v>
      </c>
      <c r="DZ14" s="392">
        <v>741.3</v>
      </c>
      <c r="EA14" s="392">
        <v>754.08</v>
      </c>
      <c r="EB14" s="392">
        <v>727.21800000000007</v>
      </c>
      <c r="EC14" s="392">
        <v>729.15000000000009</v>
      </c>
      <c r="ED14" s="392">
        <v>750.64800000000002</v>
      </c>
      <c r="EE14" s="392">
        <v>748.68000000000006</v>
      </c>
      <c r="EF14" s="392">
        <v>810.54600000000005</v>
      </c>
      <c r="EG14" s="392">
        <v>718.01400000000001</v>
      </c>
      <c r="EH14" s="392">
        <v>777.61200000000008</v>
      </c>
      <c r="EI14" s="392">
        <v>731.11200000000008</v>
      </c>
      <c r="EJ14" s="392">
        <v>755.67</v>
      </c>
      <c r="EK14" s="392">
        <v>762.43799999999999</v>
      </c>
      <c r="EL14" s="392">
        <v>733.83</v>
      </c>
      <c r="EM14" s="392">
        <v>790.96199999999999</v>
      </c>
      <c r="EN14" s="392">
        <v>767.16</v>
      </c>
      <c r="EO14" s="392">
        <v>741.76800000000003</v>
      </c>
      <c r="EP14" s="392">
        <v>798.41399999999999</v>
      </c>
      <c r="EQ14" s="392">
        <v>747.04200000000003</v>
      </c>
      <c r="ER14" s="392">
        <v>840.74399999999991</v>
      </c>
      <c r="ES14" s="392">
        <v>815.79</v>
      </c>
      <c r="ET14" s="392">
        <v>837.14400000000001</v>
      </c>
      <c r="EU14" s="392">
        <v>764.45400000000006</v>
      </c>
      <c r="EV14" s="392">
        <v>768.01799999999992</v>
      </c>
      <c r="EW14" s="392">
        <v>753.09</v>
      </c>
      <c r="EX14" s="392">
        <v>670.02</v>
      </c>
      <c r="EY14" s="392">
        <v>702.47399999999993</v>
      </c>
      <c r="EZ14" s="392">
        <v>692.23800000000006</v>
      </c>
      <c r="FA14" s="392">
        <v>648.20400000000006</v>
      </c>
      <c r="FB14" s="392">
        <v>567.93000000000006</v>
      </c>
      <c r="FC14" s="392">
        <v>553.11599999999999</v>
      </c>
      <c r="FD14" s="392">
        <v>620.51400000000001</v>
      </c>
      <c r="FE14" s="392">
        <v>608.77200000000005</v>
      </c>
      <c r="FF14" s="392">
        <v>644.32799999999997</v>
      </c>
      <c r="FG14" s="392">
        <v>530.66999999999996</v>
      </c>
      <c r="FH14" s="392">
        <v>644.88599999999997</v>
      </c>
      <c r="FI14" s="392">
        <v>625.79999999999995</v>
      </c>
      <c r="FJ14" s="392">
        <v>676.72799999999995</v>
      </c>
      <c r="FK14" s="392">
        <v>694.89</v>
      </c>
      <c r="FL14" s="392">
        <v>661.5</v>
      </c>
      <c r="FM14" s="392">
        <v>632.83199999999999</v>
      </c>
      <c r="FN14" s="392">
        <v>651.85799999999995</v>
      </c>
      <c r="FO14" s="392">
        <v>617.77200000000005</v>
      </c>
      <c r="FP14" s="392">
        <v>664.77600000000007</v>
      </c>
      <c r="FQ14" s="392">
        <v>617.14800000000002</v>
      </c>
      <c r="FR14" s="392">
        <v>625.14599999999996</v>
      </c>
      <c r="FS14" s="392">
        <v>611.22</v>
      </c>
      <c r="FT14" s="392">
        <v>493.53</v>
      </c>
      <c r="FU14" s="392">
        <v>485.214</v>
      </c>
      <c r="FV14" s="392">
        <v>464.36400000000003</v>
      </c>
      <c r="FW14" s="392">
        <v>471.42599999999999</v>
      </c>
      <c r="FX14" s="392">
        <v>473.74199999999996</v>
      </c>
      <c r="FY14" s="392">
        <v>427.17599999999999</v>
      </c>
      <c r="FZ14" s="392">
        <v>423.678</v>
      </c>
      <c r="GA14" s="392">
        <v>442.92599999999999</v>
      </c>
      <c r="GB14" s="392">
        <v>475.464</v>
      </c>
      <c r="GC14" s="392">
        <v>438.37199999999996</v>
      </c>
      <c r="GD14" s="392">
        <v>435.94200000000001</v>
      </c>
      <c r="GE14" s="392">
        <v>428.50200000000001</v>
      </c>
      <c r="GF14" s="392">
        <v>404.01</v>
      </c>
      <c r="GG14" s="392">
        <v>400.14</v>
      </c>
      <c r="GH14" s="392">
        <v>375.93</v>
      </c>
      <c r="GI14" s="392">
        <v>364.53000000000003</v>
      </c>
      <c r="GJ14" s="392">
        <v>355.78800000000001</v>
      </c>
      <c r="GK14" s="392">
        <v>347.43599999999998</v>
      </c>
      <c r="GL14" s="392">
        <v>403.87800000000004</v>
      </c>
      <c r="GM14" s="392">
        <v>326.07</v>
      </c>
      <c r="GN14" s="392">
        <v>359.58600000000001</v>
      </c>
      <c r="GO14" s="392">
        <v>328.70400000000001</v>
      </c>
      <c r="GP14" s="392">
        <v>368.31600000000003</v>
      </c>
      <c r="GQ14" s="392">
        <v>363.28800000000001</v>
      </c>
      <c r="GR14" s="392">
        <v>374.53199999999998</v>
      </c>
      <c r="GS14" s="392">
        <v>409.69799999999998</v>
      </c>
      <c r="GT14" s="392">
        <v>391.63799999999998</v>
      </c>
      <c r="GU14" s="392">
        <v>395.16600000000005</v>
      </c>
      <c r="GV14" s="392">
        <v>405.036</v>
      </c>
      <c r="GW14" s="392">
        <v>377.45400000000001</v>
      </c>
      <c r="GX14" s="392">
        <v>381.63600000000002</v>
      </c>
      <c r="GY14" s="392">
        <v>340.09199999999998</v>
      </c>
      <c r="GZ14" s="392">
        <v>375.39600000000002</v>
      </c>
      <c r="HA14" s="392">
        <v>372.01800000000003</v>
      </c>
      <c r="HB14" s="392">
        <v>391.45799999999997</v>
      </c>
      <c r="HC14" s="392">
        <v>370.29599999999999</v>
      </c>
      <c r="HD14" s="392">
        <v>356.24400000000003</v>
      </c>
      <c r="HE14" s="392">
        <v>392.10599999999999</v>
      </c>
      <c r="HF14" s="392">
        <v>361.59000000000003</v>
      </c>
      <c r="HG14" s="392">
        <v>351.99</v>
      </c>
      <c r="HH14" s="392">
        <v>385.66200000000003</v>
      </c>
      <c r="HI14" s="392">
        <v>347.274</v>
      </c>
      <c r="HJ14" s="392">
        <v>372.11399999999998</v>
      </c>
      <c r="HK14" s="392">
        <v>341.76599999999996</v>
      </c>
      <c r="HL14" s="392">
        <v>374.11799999999999</v>
      </c>
      <c r="HM14" s="392">
        <v>342.03000000000003</v>
      </c>
      <c r="HN14" s="392">
        <v>367.86599999999999</v>
      </c>
      <c r="HO14" s="392">
        <v>338.83199999999999</v>
      </c>
      <c r="HP14" s="444">
        <v>351.654</v>
      </c>
      <c r="HQ14" s="444">
        <v>348.12599999999998</v>
      </c>
      <c r="HR14" s="444">
        <v>331.26</v>
      </c>
      <c r="HS14" s="444">
        <v>337.83</v>
      </c>
      <c r="HT14" s="444">
        <v>330.89400000000001</v>
      </c>
      <c r="HU14" s="444">
        <v>295.81799999999998</v>
      </c>
      <c r="HV14" s="392">
        <v>304.80600000000004</v>
      </c>
      <c r="HW14" s="392">
        <v>291.06600000000003</v>
      </c>
      <c r="HX14" s="392">
        <v>221.142</v>
      </c>
      <c r="HY14" s="392">
        <v>161.54399999999998</v>
      </c>
      <c r="HZ14" s="392">
        <v>266.964</v>
      </c>
      <c r="IA14" s="392">
        <v>268.39799999999997</v>
      </c>
      <c r="IB14" s="392">
        <v>251.13600000000002</v>
      </c>
      <c r="IC14" s="392">
        <v>246.108</v>
      </c>
      <c r="ID14" s="392">
        <v>106.06800000000001</v>
      </c>
      <c r="IE14" s="392">
        <v>233.55600000000001</v>
      </c>
      <c r="IF14" s="392">
        <v>216.58199999999999</v>
      </c>
      <c r="IG14" s="392">
        <v>140.86199999999999</v>
      </c>
      <c r="IH14" s="392">
        <v>78.641999999999996</v>
      </c>
      <c r="II14" s="392">
        <v>55.59</v>
      </c>
      <c r="IJ14" s="392">
        <v>71.460000000000008</v>
      </c>
      <c r="IK14" s="392">
        <v>44.94</v>
      </c>
      <c r="IL14" s="392">
        <v>46.686</v>
      </c>
      <c r="IM14" s="392">
        <v>98.74799999999999</v>
      </c>
      <c r="IN14" s="444">
        <v>74.543999999999997</v>
      </c>
      <c r="IO14" s="444">
        <v>38.49</v>
      </c>
      <c r="IP14" s="444">
        <v>31.991999999999997</v>
      </c>
      <c r="IQ14" s="444">
        <v>34.433999999999997</v>
      </c>
      <c r="IR14" s="444">
        <v>36.936</v>
      </c>
      <c r="IS14" s="444">
        <v>94.475999999999999</v>
      </c>
      <c r="IT14" s="444">
        <v>36.936</v>
      </c>
      <c r="IU14" s="444">
        <v>34.001999999999995</v>
      </c>
      <c r="IV14" s="444">
        <v>39.57</v>
      </c>
      <c r="IW14" s="445">
        <v>22.148</v>
      </c>
      <c r="IX14" s="445">
        <v>40.677999999999997</v>
      </c>
      <c r="IY14" s="445">
        <v>36.008000000000003</v>
      </c>
      <c r="IZ14" s="445">
        <v>27.306000000000001</v>
      </c>
      <c r="JA14" s="445">
        <v>46.451999999999998</v>
      </c>
      <c r="JB14" s="445">
        <v>29.367999999999999</v>
      </c>
      <c r="JC14" s="445">
        <v>23.277999999999999</v>
      </c>
      <c r="JD14" s="445">
        <v>25.896000000000001</v>
      </c>
      <c r="JE14" s="446">
        <v>25.376000000000001</v>
      </c>
    </row>
    <row r="15" spans="1:519" x14ac:dyDescent="0.3">
      <c r="A15" s="394" t="s">
        <v>87</v>
      </c>
      <c r="B15" s="395">
        <v>4753.32</v>
      </c>
      <c r="C15" s="395">
        <v>4787.9639999999999</v>
      </c>
      <c r="D15" s="395">
        <v>5073.09</v>
      </c>
      <c r="E15" s="395">
        <v>5028.4139999999998</v>
      </c>
      <c r="F15" s="395">
        <v>5402.0340000000006</v>
      </c>
      <c r="G15" s="395">
        <v>5044.8960000000006</v>
      </c>
      <c r="H15" s="395">
        <v>5524.2960000000003</v>
      </c>
      <c r="I15" s="395">
        <v>5345.058</v>
      </c>
      <c r="J15" s="395">
        <v>4962.2280000000001</v>
      </c>
      <c r="K15" s="395">
        <v>4991.13</v>
      </c>
      <c r="L15" s="395">
        <v>4895.4840000000004</v>
      </c>
      <c r="M15" s="395">
        <v>4711.5659999999998</v>
      </c>
      <c r="N15" s="395">
        <v>5086.0259999999998</v>
      </c>
      <c r="O15" s="395">
        <v>4081.0860000000002</v>
      </c>
      <c r="P15" s="395">
        <v>4631.46</v>
      </c>
      <c r="Q15" s="395">
        <v>4783.6859999999997</v>
      </c>
      <c r="R15" s="395">
        <v>4625.4960000000001</v>
      </c>
      <c r="S15" s="395">
        <v>4614.4740000000002</v>
      </c>
      <c r="T15" s="395">
        <v>5443.1819999999998</v>
      </c>
      <c r="U15" s="395">
        <v>4472.8440000000001</v>
      </c>
      <c r="V15" s="395">
        <v>4833.2039999999997</v>
      </c>
      <c r="W15" s="395">
        <v>4730.46</v>
      </c>
      <c r="X15" s="395">
        <v>4654.92</v>
      </c>
      <c r="Y15" s="395">
        <v>5021.1660000000002</v>
      </c>
      <c r="Z15" s="395">
        <v>5009.7300000000005</v>
      </c>
      <c r="AA15" s="395">
        <v>4929.1139999999996</v>
      </c>
      <c r="AB15" s="395">
        <v>5263.4459999999999</v>
      </c>
      <c r="AC15" s="395">
        <v>5046.0119999999997</v>
      </c>
      <c r="AD15" s="395">
        <v>5082.3119999999999</v>
      </c>
      <c r="AE15" s="395">
        <v>5333.0460000000003</v>
      </c>
      <c r="AF15" s="395">
        <v>5622.9659999999994</v>
      </c>
      <c r="AG15" s="395">
        <v>5446.8239999999996</v>
      </c>
      <c r="AH15" s="395">
        <v>5412.6479999999992</v>
      </c>
      <c r="AI15" s="395">
        <v>5395.1039999999994</v>
      </c>
      <c r="AJ15" s="395">
        <v>5180.8919999999998</v>
      </c>
      <c r="AK15" s="395">
        <v>5564.1179999999995</v>
      </c>
      <c r="AL15" s="395">
        <v>5203.5480000000007</v>
      </c>
      <c r="AM15" s="395">
        <v>5158.4519999999993</v>
      </c>
      <c r="AN15" s="395">
        <v>5187.8040000000001</v>
      </c>
      <c r="AO15" s="395">
        <v>4966.4580000000005</v>
      </c>
      <c r="AP15" s="395">
        <v>5029.2240000000002</v>
      </c>
      <c r="AQ15" s="395">
        <v>5509.7280000000001</v>
      </c>
      <c r="AR15" s="395">
        <v>5193.2880000000005</v>
      </c>
      <c r="AS15" s="395">
        <v>5222.8919999999998</v>
      </c>
      <c r="AT15" s="395">
        <v>5123.1660000000002</v>
      </c>
      <c r="AU15" s="395">
        <v>5007.0059999999994</v>
      </c>
      <c r="AV15" s="395">
        <v>5474.808</v>
      </c>
      <c r="AW15" s="395">
        <v>4957.9439999999995</v>
      </c>
      <c r="AX15" s="395">
        <v>4918.6080000000002</v>
      </c>
      <c r="AY15" s="395">
        <v>4758.3599999999997</v>
      </c>
      <c r="AZ15" s="395">
        <v>4938.0540000000001</v>
      </c>
      <c r="BA15" s="395">
        <v>4762.482</v>
      </c>
      <c r="BB15" s="395">
        <v>4992.8220000000001</v>
      </c>
      <c r="BC15" s="395">
        <v>5254.4519999999993</v>
      </c>
      <c r="BD15" s="395">
        <v>4921.8720000000003</v>
      </c>
      <c r="BE15" s="395">
        <v>4935.9059999999999</v>
      </c>
      <c r="BF15" s="395">
        <v>4918.0380000000005</v>
      </c>
      <c r="BG15" s="395">
        <v>4936.848</v>
      </c>
      <c r="BH15" s="395">
        <v>4970.2259999999997</v>
      </c>
      <c r="BI15" s="395">
        <v>5045.9580000000005</v>
      </c>
      <c r="BJ15" s="395">
        <v>4955.8019999999997</v>
      </c>
      <c r="BK15" s="395">
        <v>4840.0920000000006</v>
      </c>
      <c r="BL15" s="395">
        <v>5157.21</v>
      </c>
      <c r="BM15" s="395">
        <v>5050.0020000000004</v>
      </c>
      <c r="BN15" s="395">
        <v>5353.9560000000001</v>
      </c>
      <c r="BO15" s="395">
        <v>5692.2479999999996</v>
      </c>
      <c r="BP15" s="395">
        <v>5431.3320000000003</v>
      </c>
      <c r="BQ15" s="395">
        <v>5708.7780000000002</v>
      </c>
      <c r="BR15" s="395">
        <v>5388.4380000000001</v>
      </c>
      <c r="BS15" s="395">
        <v>5378.64</v>
      </c>
      <c r="BT15" s="395">
        <v>5360.3760000000002</v>
      </c>
      <c r="BU15" s="395">
        <v>5471.0039999999999</v>
      </c>
      <c r="BV15" s="395">
        <v>5357.5860000000002</v>
      </c>
      <c r="BW15" s="395">
        <v>5287.3979999999992</v>
      </c>
      <c r="BX15" s="395">
        <v>5721.5879999999997</v>
      </c>
      <c r="BY15" s="395">
        <v>5456.2860000000001</v>
      </c>
      <c r="BZ15" s="395">
        <v>5720.22</v>
      </c>
      <c r="CA15" s="395">
        <v>6014.0879999999997</v>
      </c>
      <c r="CB15" s="395">
        <v>6119.2380000000003</v>
      </c>
      <c r="CC15" s="395">
        <v>5721.384</v>
      </c>
      <c r="CD15" s="395">
        <v>5629.0020000000004</v>
      </c>
      <c r="CE15" s="395">
        <v>5869.308</v>
      </c>
      <c r="CF15" s="395">
        <v>6839.7780000000002</v>
      </c>
      <c r="CG15" s="395">
        <v>5974.5599999999995</v>
      </c>
      <c r="CH15" s="395">
        <v>5840.076</v>
      </c>
      <c r="CI15" s="395">
        <v>5859.1980000000003</v>
      </c>
      <c r="CJ15" s="395">
        <v>5738.9759999999997</v>
      </c>
      <c r="CK15" s="395">
        <v>5959.7699999999995</v>
      </c>
      <c r="CL15" s="395">
        <v>6403.86</v>
      </c>
      <c r="CM15" s="395">
        <v>6059.6639999999998</v>
      </c>
      <c r="CN15" s="395">
        <v>6097.308</v>
      </c>
      <c r="CO15" s="395">
        <v>6016.098</v>
      </c>
      <c r="CP15" s="395">
        <v>5770.14</v>
      </c>
      <c r="CQ15" s="395">
        <v>6145.7160000000003</v>
      </c>
      <c r="CR15" s="395">
        <v>5951.1</v>
      </c>
      <c r="CS15" s="395">
        <v>5811.5940000000001</v>
      </c>
      <c r="CT15" s="395">
        <v>6113.9639999999999</v>
      </c>
      <c r="CU15" s="395">
        <v>5835.0419999999995</v>
      </c>
      <c r="CV15" s="395">
        <v>6435.018</v>
      </c>
      <c r="CW15" s="395">
        <v>6625.2000000000007</v>
      </c>
      <c r="CX15" s="395">
        <v>6592.4160000000011</v>
      </c>
      <c r="CY15" s="395">
        <v>6492.384</v>
      </c>
      <c r="CZ15" s="395">
        <v>6794.25</v>
      </c>
      <c r="DA15" s="395">
        <v>6644.0399999999991</v>
      </c>
      <c r="DB15" s="395">
        <v>6558.1439999999993</v>
      </c>
      <c r="DC15" s="395">
        <v>6986.2199999999993</v>
      </c>
      <c r="DD15" s="395">
        <v>6412.32</v>
      </c>
      <c r="DE15" s="395">
        <v>6515.5079999999998</v>
      </c>
      <c r="DF15" s="395">
        <v>6469.1940000000004</v>
      </c>
      <c r="DG15" s="395">
        <v>6500.3099999999995</v>
      </c>
      <c r="DH15" s="395">
        <v>6836.0939999999991</v>
      </c>
      <c r="DI15" s="395">
        <v>7213.77</v>
      </c>
      <c r="DJ15" s="395">
        <v>6948.2459999999992</v>
      </c>
      <c r="DK15" s="395">
        <v>7110.6180000000004</v>
      </c>
      <c r="DL15" s="395">
        <v>7139.3580000000002</v>
      </c>
      <c r="DM15" s="395">
        <v>7191.4139999999998</v>
      </c>
      <c r="DN15" s="395">
        <v>7229.3760000000002</v>
      </c>
      <c r="DO15" s="395">
        <v>7172.5619999999999</v>
      </c>
      <c r="DP15" s="395">
        <v>7169.9940000000006</v>
      </c>
      <c r="DQ15" s="395">
        <v>7384.4579999999996</v>
      </c>
      <c r="DR15" s="395">
        <v>7320.4259999999995</v>
      </c>
      <c r="DS15" s="395">
        <v>7162.3020000000006</v>
      </c>
      <c r="DT15" s="395">
        <v>7833.9060000000009</v>
      </c>
      <c r="DU15" s="395">
        <v>7896.0239999999994</v>
      </c>
      <c r="DV15" s="395">
        <v>8088.8760000000002</v>
      </c>
      <c r="DW15" s="395">
        <v>7844.3460000000005</v>
      </c>
      <c r="DX15" s="395">
        <v>8218.11</v>
      </c>
      <c r="DY15" s="395">
        <v>8605.2959999999985</v>
      </c>
      <c r="DZ15" s="395">
        <v>8738.0399999999991</v>
      </c>
      <c r="EA15" s="395">
        <v>8368.56</v>
      </c>
      <c r="EB15" s="395">
        <v>8667.7260000000006</v>
      </c>
      <c r="EC15" s="395">
        <v>8695.8180000000011</v>
      </c>
      <c r="ED15" s="395">
        <v>8614.3320000000003</v>
      </c>
      <c r="EE15" s="395">
        <v>8660.1779999999999</v>
      </c>
      <c r="EF15" s="395">
        <v>8726.2619999999988</v>
      </c>
      <c r="EG15" s="395">
        <v>8621.0339999999997</v>
      </c>
      <c r="EH15" s="395">
        <v>9190.4459999999999</v>
      </c>
      <c r="EI15" s="395">
        <v>8983.5420000000013</v>
      </c>
      <c r="EJ15" s="395">
        <v>9117.8760000000002</v>
      </c>
      <c r="EK15" s="395">
        <v>9206.2980000000007</v>
      </c>
      <c r="EL15" s="395">
        <v>8920.83</v>
      </c>
      <c r="EM15" s="395">
        <v>9368.598</v>
      </c>
      <c r="EN15" s="395">
        <v>9204.5040000000008</v>
      </c>
      <c r="EO15" s="395">
        <v>8709.33</v>
      </c>
      <c r="EP15" s="395">
        <v>9485.7899999999991</v>
      </c>
      <c r="EQ15" s="395">
        <v>8746.8780000000006</v>
      </c>
      <c r="ER15" s="395">
        <v>9191.76</v>
      </c>
      <c r="ES15" s="395">
        <v>9093.0119999999988</v>
      </c>
      <c r="ET15" s="395">
        <v>8997.8279999999995</v>
      </c>
      <c r="EU15" s="395">
        <v>8768.7479999999996</v>
      </c>
      <c r="EV15" s="395">
        <v>8756.0399999999991</v>
      </c>
      <c r="EW15" s="395">
        <v>8602.2659999999996</v>
      </c>
      <c r="EX15" s="395">
        <v>8123.0820000000003</v>
      </c>
      <c r="EY15" s="395">
        <v>8515.2659999999996</v>
      </c>
      <c r="EZ15" s="395">
        <v>8887.866</v>
      </c>
      <c r="FA15" s="395">
        <v>7899.0720000000001</v>
      </c>
      <c r="FB15" s="395">
        <v>7751.3099999999995</v>
      </c>
      <c r="FC15" s="395">
        <v>7516.2959999999994</v>
      </c>
      <c r="FD15" s="395">
        <v>7690.0380000000005</v>
      </c>
      <c r="FE15" s="395">
        <v>7419.0720000000001</v>
      </c>
      <c r="FF15" s="395">
        <v>7826.8080000000009</v>
      </c>
      <c r="FG15" s="395">
        <v>7597.5720000000001</v>
      </c>
      <c r="FH15" s="395">
        <v>7915.848</v>
      </c>
      <c r="FI15" s="395">
        <v>7615.7459999999992</v>
      </c>
      <c r="FJ15" s="395">
        <v>7554.4259999999995</v>
      </c>
      <c r="FK15" s="395">
        <v>7792.0559999999996</v>
      </c>
      <c r="FL15" s="395">
        <v>7559.0580000000009</v>
      </c>
      <c r="FM15" s="395">
        <v>7588.26</v>
      </c>
      <c r="FN15" s="395">
        <v>7407.6779999999999</v>
      </c>
      <c r="FO15" s="395">
        <v>7203.2100000000009</v>
      </c>
      <c r="FP15" s="395">
        <v>7741.2420000000002</v>
      </c>
      <c r="FQ15" s="395">
        <v>7701.9060000000009</v>
      </c>
      <c r="FR15" s="395">
        <v>7871.0939999999991</v>
      </c>
      <c r="FS15" s="395">
        <v>7907.2920000000004</v>
      </c>
      <c r="FT15" s="395">
        <v>8054.4719999999998</v>
      </c>
      <c r="FU15" s="395">
        <v>8205.5760000000009</v>
      </c>
      <c r="FV15" s="395">
        <v>7743.3719999999994</v>
      </c>
      <c r="FW15" s="395">
        <v>7752.264000000001</v>
      </c>
      <c r="FX15" s="395">
        <v>7815.7380000000003</v>
      </c>
      <c r="FY15" s="395">
        <v>7796.0040000000008</v>
      </c>
      <c r="FZ15" s="395">
        <v>7827.5999999999995</v>
      </c>
      <c r="GA15" s="395">
        <v>8026.2659999999996</v>
      </c>
      <c r="GB15" s="395">
        <v>8126.8860000000004</v>
      </c>
      <c r="GC15" s="395">
        <v>7941.924</v>
      </c>
      <c r="GD15" s="395">
        <v>8397.06</v>
      </c>
      <c r="GE15" s="395">
        <v>8321.7240000000002</v>
      </c>
      <c r="GF15" s="395">
        <v>7812.9600000000009</v>
      </c>
      <c r="GG15" s="395">
        <v>8338.7999999999993</v>
      </c>
      <c r="GH15" s="395">
        <v>7971.4139999999998</v>
      </c>
      <c r="GI15" s="395">
        <v>8093.8499999999995</v>
      </c>
      <c r="GJ15" s="395">
        <v>8214.8940000000002</v>
      </c>
      <c r="GK15" s="395">
        <v>7972.5779999999995</v>
      </c>
      <c r="GL15" s="395">
        <v>8162.4479999999994</v>
      </c>
      <c r="GM15" s="395">
        <v>7934.8979999999992</v>
      </c>
      <c r="GN15" s="395">
        <v>8574.7079999999987</v>
      </c>
      <c r="GO15" s="395">
        <v>7931.3939999999993</v>
      </c>
      <c r="GP15" s="395">
        <v>8601.5339999999997</v>
      </c>
      <c r="GQ15" s="395">
        <v>8448.6660000000011</v>
      </c>
      <c r="GR15" s="395">
        <v>8759.3819999999996</v>
      </c>
      <c r="GS15" s="395">
        <v>8980.9979999999996</v>
      </c>
      <c r="GT15" s="395">
        <v>8513.0640000000003</v>
      </c>
      <c r="GU15" s="395">
        <v>8857.5480000000007</v>
      </c>
      <c r="GV15" s="395">
        <v>8992.41</v>
      </c>
      <c r="GW15" s="395">
        <v>8642.6939999999995</v>
      </c>
      <c r="GX15" s="395">
        <v>9196.17</v>
      </c>
      <c r="GY15" s="395">
        <v>9058.9920000000002</v>
      </c>
      <c r="GZ15" s="395">
        <v>9600.5939999999991</v>
      </c>
      <c r="HA15" s="395">
        <v>9370.1579999999994</v>
      </c>
      <c r="HB15" s="395">
        <v>9739.2060000000001</v>
      </c>
      <c r="HC15" s="395">
        <v>9580.2659999999996</v>
      </c>
      <c r="HD15" s="395">
        <v>9912.7559999999994</v>
      </c>
      <c r="HE15" s="395">
        <v>9973.14</v>
      </c>
      <c r="HF15" s="395">
        <v>9312.0839999999989</v>
      </c>
      <c r="HG15" s="395">
        <v>9891.1859999999997</v>
      </c>
      <c r="HH15" s="395">
        <v>9772.4760000000006</v>
      </c>
      <c r="HI15" s="395">
        <v>9383.369999999999</v>
      </c>
      <c r="HJ15" s="395">
        <v>9911.8320000000003</v>
      </c>
      <c r="HK15" s="395">
        <v>9405.24</v>
      </c>
      <c r="HL15" s="395">
        <v>10013.315999999999</v>
      </c>
      <c r="HM15" s="395">
        <v>9681.2459999999992</v>
      </c>
      <c r="HN15" s="395">
        <v>10394.304</v>
      </c>
      <c r="HO15" s="395">
        <v>9778.4340000000011</v>
      </c>
      <c r="HP15" s="395">
        <v>10462.266</v>
      </c>
      <c r="HQ15" s="395">
        <v>10313.795999999998</v>
      </c>
      <c r="HR15" s="395">
        <v>9896.73</v>
      </c>
      <c r="HS15" s="395">
        <v>10404.011999999999</v>
      </c>
      <c r="HT15" s="395">
        <v>10167.078</v>
      </c>
      <c r="HU15" s="395">
        <v>9960.9719999999998</v>
      </c>
      <c r="HV15" s="395">
        <v>10155.27</v>
      </c>
      <c r="HW15" s="395">
        <v>10044.93</v>
      </c>
      <c r="HX15" s="395">
        <v>10206.216</v>
      </c>
      <c r="HY15" s="395">
        <v>9630.4680000000008</v>
      </c>
      <c r="HZ15" s="395">
        <v>10274.754000000001</v>
      </c>
      <c r="IA15" s="395">
        <v>10394.25</v>
      </c>
      <c r="IB15" s="395">
        <v>10434.456</v>
      </c>
      <c r="IC15" s="395">
        <v>10542.498</v>
      </c>
      <c r="ID15" s="395">
        <v>10339.542000000001</v>
      </c>
      <c r="IE15" s="395">
        <v>10570.434000000001</v>
      </c>
      <c r="IF15" s="395">
        <v>10518.42</v>
      </c>
      <c r="IG15" s="395">
        <v>10340.352000000001</v>
      </c>
      <c r="IH15" s="395">
        <v>10541.652</v>
      </c>
      <c r="II15" s="395">
        <v>9853.098</v>
      </c>
      <c r="IJ15" s="395">
        <v>11164.326000000001</v>
      </c>
      <c r="IK15" s="395">
        <v>10604.808000000001</v>
      </c>
      <c r="IL15" s="395">
        <v>11066.022000000001</v>
      </c>
      <c r="IM15" s="395">
        <v>10789.53</v>
      </c>
      <c r="IN15" s="15">
        <v>11076.342000000001</v>
      </c>
      <c r="IO15" s="15">
        <v>10956.672</v>
      </c>
      <c r="IP15" s="15">
        <v>10837.02</v>
      </c>
      <c r="IQ15" s="15">
        <v>11115.348</v>
      </c>
      <c r="IR15" s="15">
        <v>11105.058000000001</v>
      </c>
      <c r="IS15" s="15">
        <v>10781.814</v>
      </c>
      <c r="IT15" s="15">
        <v>10904.55</v>
      </c>
      <c r="IU15" s="15">
        <v>10441.884</v>
      </c>
      <c r="IV15" s="15">
        <v>11071.8</v>
      </c>
      <c r="IW15" s="15">
        <v>10634.683999999999</v>
      </c>
      <c r="IX15" s="15">
        <v>11158.976000000001</v>
      </c>
      <c r="IY15" s="15">
        <v>11482.046</v>
      </c>
      <c r="IZ15" s="15">
        <v>10873.618</v>
      </c>
      <c r="JA15" s="15">
        <v>10918.992</v>
      </c>
      <c r="JB15" s="15">
        <v>11166.388000000001</v>
      </c>
      <c r="JC15" s="15">
        <v>11353.168</v>
      </c>
      <c r="JD15" s="15">
        <v>11688.888000000001</v>
      </c>
      <c r="JE15" s="447">
        <v>11944.944</v>
      </c>
    </row>
    <row r="16" spans="1:519" x14ac:dyDescent="0.3">
      <c r="A16" s="394" t="s">
        <v>88</v>
      </c>
      <c r="B16" s="392">
        <v>5564.5199999999995</v>
      </c>
      <c r="C16" s="392">
        <v>5319.6179999999995</v>
      </c>
      <c r="D16" s="392">
        <v>5987.982</v>
      </c>
      <c r="E16" s="392">
        <v>5302.7579999999998</v>
      </c>
      <c r="F16" s="392">
        <v>5849.97</v>
      </c>
      <c r="G16" s="392">
        <v>5701.098</v>
      </c>
      <c r="H16" s="392">
        <v>5838.2280000000001</v>
      </c>
      <c r="I16" s="392">
        <v>5996.5680000000002</v>
      </c>
      <c r="J16" s="392">
        <v>5010.8940000000002</v>
      </c>
      <c r="K16" s="392">
        <v>5386.89</v>
      </c>
      <c r="L16" s="392">
        <v>5304.4740000000002</v>
      </c>
      <c r="M16" s="392">
        <v>5020.4759999999997</v>
      </c>
      <c r="N16" s="392">
        <v>5252.652</v>
      </c>
      <c r="O16" s="392">
        <v>4658.2440000000006</v>
      </c>
      <c r="P16" s="392">
        <v>5571.558</v>
      </c>
      <c r="Q16" s="392">
        <v>5192.6099999999997</v>
      </c>
      <c r="R16" s="392">
        <v>5505.0720000000001</v>
      </c>
      <c r="S16" s="392">
        <v>5618.25</v>
      </c>
      <c r="T16" s="392">
        <v>5463.03</v>
      </c>
      <c r="U16" s="392">
        <v>5258.0519999999997</v>
      </c>
      <c r="V16" s="392">
        <v>5408.5439999999999</v>
      </c>
      <c r="W16" s="392">
        <v>5652.6239999999998</v>
      </c>
      <c r="X16" s="392">
        <v>5165.3459999999995</v>
      </c>
      <c r="Y16" s="392">
        <v>5467.9439999999995</v>
      </c>
      <c r="Z16" s="392">
        <v>5347.3860000000004</v>
      </c>
      <c r="AA16" s="392">
        <v>5270.058</v>
      </c>
      <c r="AB16" s="392">
        <v>5740.62</v>
      </c>
      <c r="AC16" s="392">
        <v>5588.07</v>
      </c>
      <c r="AD16" s="392">
        <v>5915.442</v>
      </c>
      <c r="AE16" s="392">
        <v>5762.43</v>
      </c>
      <c r="AF16" s="392">
        <v>6090.03</v>
      </c>
      <c r="AG16" s="392">
        <v>5815.5720000000001</v>
      </c>
      <c r="AH16" s="392">
        <v>5805.0839999999998</v>
      </c>
      <c r="AI16" s="392">
        <v>6163.9679999999998</v>
      </c>
      <c r="AJ16" s="392">
        <v>5862.8580000000002</v>
      </c>
      <c r="AK16" s="392">
        <v>6110.7539999999999</v>
      </c>
      <c r="AL16" s="392">
        <v>6131.4120000000003</v>
      </c>
      <c r="AM16" s="392">
        <v>6082.098</v>
      </c>
      <c r="AN16" s="392">
        <v>6778.4579999999996</v>
      </c>
      <c r="AO16" s="392">
        <v>6141.0839999999998</v>
      </c>
      <c r="AP16" s="392">
        <v>6651.0360000000001</v>
      </c>
      <c r="AQ16" s="392">
        <v>7320.8159999999998</v>
      </c>
      <c r="AR16" s="392">
        <v>6547.152</v>
      </c>
      <c r="AS16" s="392">
        <v>6657.1260000000002</v>
      </c>
      <c r="AT16" s="392">
        <v>6725.7899999999991</v>
      </c>
      <c r="AU16" s="392">
        <v>6757.5659999999998</v>
      </c>
      <c r="AV16" s="392">
        <v>6742.3680000000004</v>
      </c>
      <c r="AW16" s="392">
        <v>6546.8939999999993</v>
      </c>
      <c r="AX16" s="392">
        <v>5804.2440000000006</v>
      </c>
      <c r="AY16" s="392">
        <v>5996.2019999999993</v>
      </c>
      <c r="AZ16" s="392">
        <v>6413.1779999999999</v>
      </c>
      <c r="BA16" s="392">
        <v>5906.4120000000003</v>
      </c>
      <c r="BB16" s="392">
        <v>6494.37</v>
      </c>
      <c r="BC16" s="392">
        <v>6491.2860000000001</v>
      </c>
      <c r="BD16" s="392">
        <v>6682.3739999999998</v>
      </c>
      <c r="BE16" s="392">
        <v>6383.6460000000006</v>
      </c>
      <c r="BF16" s="392">
        <v>6635.9639999999999</v>
      </c>
      <c r="BG16" s="392">
        <v>6919.4760000000006</v>
      </c>
      <c r="BH16" s="392">
        <v>7080.9660000000003</v>
      </c>
      <c r="BI16" s="392">
        <v>6896.3939999999993</v>
      </c>
      <c r="BJ16" s="392">
        <v>6894.8279999999995</v>
      </c>
      <c r="BK16" s="392">
        <v>6904.116</v>
      </c>
      <c r="BL16" s="392">
        <v>7598.9699999999993</v>
      </c>
      <c r="BM16" s="392">
        <v>6921.6840000000002</v>
      </c>
      <c r="BN16" s="392">
        <v>7988.0159999999996</v>
      </c>
      <c r="BO16" s="392">
        <v>7974.5280000000002</v>
      </c>
      <c r="BP16" s="392">
        <v>7685.6759999999995</v>
      </c>
      <c r="BQ16" s="392">
        <v>8030.6579999999994</v>
      </c>
      <c r="BR16" s="392">
        <v>7411.2480000000005</v>
      </c>
      <c r="BS16" s="392">
        <v>7340.7060000000001</v>
      </c>
      <c r="BT16" s="392">
        <v>7448.1660000000011</v>
      </c>
      <c r="BU16" s="392">
        <v>7135.4160000000011</v>
      </c>
      <c r="BV16" s="392">
        <v>7095.66</v>
      </c>
      <c r="BW16" s="392">
        <v>7578.9660000000003</v>
      </c>
      <c r="BX16" s="392">
        <v>7569.9000000000005</v>
      </c>
      <c r="BY16" s="392">
        <v>7413.5159999999996</v>
      </c>
      <c r="BZ16" s="392">
        <v>8561.652</v>
      </c>
      <c r="CA16" s="392">
        <v>8125.8780000000006</v>
      </c>
      <c r="CB16" s="392">
        <v>8265.119999999999</v>
      </c>
      <c r="CC16" s="392">
        <v>8920.0740000000005</v>
      </c>
      <c r="CD16" s="392">
        <v>8146.38</v>
      </c>
      <c r="CE16" s="392">
        <v>8347.5239999999994</v>
      </c>
      <c r="CF16" s="392">
        <v>8430.9840000000004</v>
      </c>
      <c r="CG16" s="392">
        <v>8249.880000000001</v>
      </c>
      <c r="CH16" s="392">
        <v>9402.5459999999985</v>
      </c>
      <c r="CI16" s="392">
        <v>9191.4840000000004</v>
      </c>
      <c r="CJ16" s="392">
        <v>9863.67</v>
      </c>
      <c r="CK16" s="392">
        <v>10032.294</v>
      </c>
      <c r="CL16" s="392">
        <v>10413.696</v>
      </c>
      <c r="CM16" s="392">
        <v>10221.156000000001</v>
      </c>
      <c r="CN16" s="392">
        <v>10991.903999999999</v>
      </c>
      <c r="CO16" s="392">
        <v>11185.758</v>
      </c>
      <c r="CP16" s="392">
        <v>11248.457999999999</v>
      </c>
      <c r="CQ16" s="392">
        <v>11787.912</v>
      </c>
      <c r="CR16" s="392">
        <v>11369.808000000001</v>
      </c>
      <c r="CS16" s="392">
        <v>10288.866</v>
      </c>
      <c r="CT16" s="392">
        <v>11191.853999999999</v>
      </c>
      <c r="CU16" s="392">
        <v>11607.900000000001</v>
      </c>
      <c r="CV16" s="392">
        <v>12414.828</v>
      </c>
      <c r="CW16" s="392">
        <v>12051.39</v>
      </c>
      <c r="CX16" s="392">
        <v>12599.346000000001</v>
      </c>
      <c r="CY16" s="392">
        <v>12849.552</v>
      </c>
      <c r="CZ16" s="392">
        <v>13471.727999999999</v>
      </c>
      <c r="DA16" s="392">
        <v>13145.165999999999</v>
      </c>
      <c r="DB16" s="392">
        <v>13482.971999999998</v>
      </c>
      <c r="DC16" s="392">
        <v>13641.047999999999</v>
      </c>
      <c r="DD16" s="392">
        <v>13564.673999999999</v>
      </c>
      <c r="DE16" s="392">
        <v>13733.297999999999</v>
      </c>
      <c r="DF16" s="392">
        <v>13299.672</v>
      </c>
      <c r="DG16" s="392">
        <v>13291.218000000001</v>
      </c>
      <c r="DH16" s="392">
        <v>14515.746000000001</v>
      </c>
      <c r="DI16" s="392">
        <v>13503.354000000001</v>
      </c>
      <c r="DJ16" s="392">
        <v>13833.678</v>
      </c>
      <c r="DK16" s="392">
        <v>14770.667999999998</v>
      </c>
      <c r="DL16" s="392">
        <v>15744.66</v>
      </c>
      <c r="DM16" s="392">
        <v>15983.861999999999</v>
      </c>
      <c r="DN16" s="392">
        <v>15117.630000000001</v>
      </c>
      <c r="DO16" s="392">
        <v>15686.544</v>
      </c>
      <c r="DP16" s="392">
        <v>16195.578</v>
      </c>
      <c r="DQ16" s="392">
        <v>14895.648000000001</v>
      </c>
      <c r="DR16" s="392">
        <v>14835.341999999999</v>
      </c>
      <c r="DS16" s="392">
        <v>14409.486000000001</v>
      </c>
      <c r="DT16" s="392">
        <v>15806.550000000001</v>
      </c>
      <c r="DU16" s="392">
        <v>15220.013999999999</v>
      </c>
      <c r="DV16" s="392">
        <v>16413.504000000001</v>
      </c>
      <c r="DW16" s="392">
        <v>16163.315999999999</v>
      </c>
      <c r="DX16" s="392">
        <v>16439.699999999997</v>
      </c>
      <c r="DY16" s="392">
        <v>18187.434000000001</v>
      </c>
      <c r="DZ16" s="392">
        <v>16980.977999999999</v>
      </c>
      <c r="EA16" s="392">
        <v>17515.41</v>
      </c>
      <c r="EB16" s="392">
        <v>17521.133999999998</v>
      </c>
      <c r="EC16" s="392">
        <v>17816.106</v>
      </c>
      <c r="ED16" s="392">
        <v>14057.741999999998</v>
      </c>
      <c r="EE16" s="392">
        <v>14241.03</v>
      </c>
      <c r="EF16" s="392">
        <v>15140.52</v>
      </c>
      <c r="EG16" s="392">
        <v>15385.932000000001</v>
      </c>
      <c r="EH16" s="392">
        <v>16775.694</v>
      </c>
      <c r="EI16" s="392">
        <v>16456.560000000001</v>
      </c>
      <c r="EJ16" s="392">
        <v>16805.784</v>
      </c>
      <c r="EK16" s="392">
        <v>18000.078000000001</v>
      </c>
      <c r="EL16" s="392">
        <v>17865.887999999999</v>
      </c>
      <c r="EM16" s="392">
        <v>18870.684000000001</v>
      </c>
      <c r="EN16" s="392">
        <v>18627.966</v>
      </c>
      <c r="EO16" s="392">
        <v>17935.601999999999</v>
      </c>
      <c r="EP16" s="392">
        <v>18547.853999999999</v>
      </c>
      <c r="EQ16" s="392">
        <v>18001.326000000001</v>
      </c>
      <c r="ER16" s="392">
        <v>19724.273999999998</v>
      </c>
      <c r="ES16" s="392">
        <v>19745.652000000002</v>
      </c>
      <c r="ET16" s="392">
        <v>20727.714</v>
      </c>
      <c r="EU16" s="392">
        <v>20471.874</v>
      </c>
      <c r="EV16" s="392">
        <v>21725.550000000003</v>
      </c>
      <c r="EW16" s="392">
        <v>22154.741999999998</v>
      </c>
      <c r="EX16" s="392">
        <v>21593.124</v>
      </c>
      <c r="EY16" s="392">
        <v>22638.66</v>
      </c>
      <c r="EZ16" s="392">
        <v>22234.554</v>
      </c>
      <c r="FA16" s="392">
        <v>21169.044000000002</v>
      </c>
      <c r="FB16" s="392">
        <v>22064.957999999999</v>
      </c>
      <c r="FC16" s="392">
        <v>20630.964</v>
      </c>
      <c r="FD16" s="392">
        <v>22347.665999999997</v>
      </c>
      <c r="FE16" s="392">
        <v>21909.042000000001</v>
      </c>
      <c r="FF16" s="392">
        <v>22953.252</v>
      </c>
      <c r="FG16" s="392">
        <v>22606.565999999999</v>
      </c>
      <c r="FH16" s="392">
        <v>23663.148000000001</v>
      </c>
      <c r="FI16" s="392">
        <v>23042.585999999999</v>
      </c>
      <c r="FJ16" s="392">
        <v>22778.682000000001</v>
      </c>
      <c r="FK16" s="392">
        <v>23453.712</v>
      </c>
      <c r="FL16" s="392">
        <v>22447.5</v>
      </c>
      <c r="FM16" s="392">
        <v>22313.52</v>
      </c>
      <c r="FN16" s="392">
        <v>22097.73</v>
      </c>
      <c r="FO16" s="392">
        <v>20771.076000000001</v>
      </c>
      <c r="FP16" s="392">
        <v>22856.495999999999</v>
      </c>
      <c r="FQ16" s="392">
        <v>21112.421999999999</v>
      </c>
      <c r="FR16" s="392">
        <v>21470.921999999999</v>
      </c>
      <c r="FS16" s="392">
        <v>21452.454000000002</v>
      </c>
      <c r="FT16" s="392">
        <v>21619.86</v>
      </c>
      <c r="FU16" s="392">
        <v>21097.68</v>
      </c>
      <c r="FV16" s="392">
        <v>20513.028000000002</v>
      </c>
      <c r="FW16" s="392">
        <v>20487.39</v>
      </c>
      <c r="FX16" s="392">
        <v>20513.628000000001</v>
      </c>
      <c r="FY16" s="392">
        <v>20814.671999999999</v>
      </c>
      <c r="FZ16" s="392">
        <v>20504.118000000002</v>
      </c>
      <c r="GA16" s="392">
        <v>20364.804</v>
      </c>
      <c r="GB16" s="392">
        <v>21680.106</v>
      </c>
      <c r="GC16" s="392">
        <v>20532.011999999999</v>
      </c>
      <c r="GD16" s="392">
        <v>21809.85</v>
      </c>
      <c r="GE16" s="392">
        <v>21057.300000000003</v>
      </c>
      <c r="GF16" s="392">
        <v>21008.567999999999</v>
      </c>
      <c r="GG16" s="392">
        <v>21487.41</v>
      </c>
      <c r="GH16" s="392">
        <v>20633.556</v>
      </c>
      <c r="GI16" s="392">
        <v>20405.094000000001</v>
      </c>
      <c r="GJ16" s="392">
        <v>20752.631999999998</v>
      </c>
      <c r="GK16" s="392">
        <v>19816.673999999999</v>
      </c>
      <c r="GL16" s="392">
        <v>19961.07</v>
      </c>
      <c r="GM16" s="392">
        <v>19493.153999999999</v>
      </c>
      <c r="GN16" s="392">
        <v>21256.374</v>
      </c>
      <c r="GO16" s="392">
        <v>19726.038</v>
      </c>
      <c r="GP16" s="392">
        <v>21434.394</v>
      </c>
      <c r="GQ16" s="392">
        <v>20415.065999999999</v>
      </c>
      <c r="GR16" s="392">
        <v>20692.554</v>
      </c>
      <c r="GS16" s="392">
        <v>21287.784</v>
      </c>
      <c r="GT16" s="392">
        <v>20253.192000000003</v>
      </c>
      <c r="GU16" s="392">
        <v>20701.326000000001</v>
      </c>
      <c r="GV16" s="392">
        <v>20637.696</v>
      </c>
      <c r="GW16" s="392">
        <v>19435.584000000003</v>
      </c>
      <c r="GX16" s="392">
        <v>20341.650000000001</v>
      </c>
      <c r="GY16" s="392">
        <v>19553.099999999999</v>
      </c>
      <c r="GZ16" s="392">
        <v>21157.968000000001</v>
      </c>
      <c r="HA16" s="392">
        <v>20053.307999999997</v>
      </c>
      <c r="HB16" s="392">
        <v>21650.892</v>
      </c>
      <c r="HC16" s="392">
        <v>20578.523999999998</v>
      </c>
      <c r="HD16" s="392">
        <v>21355.368000000002</v>
      </c>
      <c r="HE16" s="392">
        <v>21593.574000000001</v>
      </c>
      <c r="HF16" s="392">
        <v>20592.726000000002</v>
      </c>
      <c r="HG16" s="392">
        <v>21626.513999999999</v>
      </c>
      <c r="HH16" s="392">
        <v>21487.32</v>
      </c>
      <c r="HI16" s="392">
        <v>20637.09</v>
      </c>
      <c r="HJ16" s="392">
        <v>20585.489999999998</v>
      </c>
      <c r="HK16" s="392">
        <v>19439.484</v>
      </c>
      <c r="HL16" s="392">
        <v>21035.694</v>
      </c>
      <c r="HM16" s="392">
        <v>19889.795999999998</v>
      </c>
      <c r="HN16" s="392">
        <v>21979.536</v>
      </c>
      <c r="HO16" s="392">
        <v>21024.942000000003</v>
      </c>
      <c r="HP16" s="444">
        <v>22548.341999999997</v>
      </c>
      <c r="HQ16" s="444">
        <v>22761.096000000001</v>
      </c>
      <c r="HR16" s="444">
        <v>22005.275999999998</v>
      </c>
      <c r="HS16" s="444">
        <v>22656.894</v>
      </c>
      <c r="HT16" s="444">
        <v>22034.705999999998</v>
      </c>
      <c r="HU16" s="444">
        <v>21948.216</v>
      </c>
      <c r="HV16" s="392">
        <v>21959.628000000001</v>
      </c>
      <c r="HW16" s="392">
        <v>21795.984</v>
      </c>
      <c r="HX16" s="392">
        <v>22887.281999999999</v>
      </c>
      <c r="HY16" s="392">
        <v>22498.482</v>
      </c>
      <c r="HZ16" s="392">
        <v>23900.682000000001</v>
      </c>
      <c r="IA16" s="392">
        <v>23330.022000000001</v>
      </c>
      <c r="IB16" s="392">
        <v>24520.044000000002</v>
      </c>
      <c r="IC16" s="392">
        <v>25010.424000000003</v>
      </c>
      <c r="ID16" s="392">
        <v>24365.795999999998</v>
      </c>
      <c r="IE16" s="392">
        <v>24520.998</v>
      </c>
      <c r="IF16" s="392">
        <v>25207.121999999999</v>
      </c>
      <c r="IG16" s="392">
        <v>24198.09</v>
      </c>
      <c r="IH16" s="392">
        <v>23900.574000000001</v>
      </c>
      <c r="II16" s="392">
        <v>22532.184000000001</v>
      </c>
      <c r="IJ16" s="392">
        <v>26710.517999999996</v>
      </c>
      <c r="IK16" s="392">
        <v>23926.518</v>
      </c>
      <c r="IL16" s="392">
        <v>25336.223999999998</v>
      </c>
      <c r="IM16" s="392">
        <v>25668.942000000003</v>
      </c>
      <c r="IN16" s="444">
        <v>24907.14</v>
      </c>
      <c r="IO16" s="444">
        <v>26400.012000000002</v>
      </c>
      <c r="IP16" s="444">
        <v>25518.924000000003</v>
      </c>
      <c r="IQ16" s="444">
        <v>26150.825999999997</v>
      </c>
      <c r="IR16" s="444">
        <v>25701.017999999996</v>
      </c>
      <c r="IS16" s="444">
        <v>24237.75</v>
      </c>
      <c r="IT16" s="444">
        <v>23895.437999999998</v>
      </c>
      <c r="IU16" s="444">
        <v>23767.332000000002</v>
      </c>
      <c r="IV16" s="444">
        <v>24225.966</v>
      </c>
      <c r="IW16" s="445">
        <v>25040.67</v>
      </c>
      <c r="IX16" s="445">
        <v>27785.646000000001</v>
      </c>
      <c r="IY16" s="445">
        <v>27366.651999999998</v>
      </c>
      <c r="IZ16" s="445">
        <v>27559.966</v>
      </c>
      <c r="JA16" s="445">
        <v>28858.414000000001</v>
      </c>
      <c r="JB16" s="445">
        <v>30015.171999999999</v>
      </c>
      <c r="JC16" s="445">
        <v>30013.752</v>
      </c>
      <c r="JD16" s="445">
        <v>30870.3</v>
      </c>
      <c r="JE16" s="446">
        <v>32202.592000000001</v>
      </c>
    </row>
    <row r="17" spans="1:265" x14ac:dyDescent="0.3">
      <c r="A17" s="394" t="s">
        <v>89</v>
      </c>
      <c r="B17" s="395">
        <v>214.90799999999999</v>
      </c>
      <c r="C17" s="395">
        <v>226.584</v>
      </c>
      <c r="D17" s="395">
        <v>292.74</v>
      </c>
      <c r="E17" s="395">
        <v>230.61599999999999</v>
      </c>
      <c r="F17" s="395">
        <v>245.11199999999997</v>
      </c>
      <c r="G17" s="395">
        <v>301.89600000000002</v>
      </c>
      <c r="H17" s="395">
        <v>280.77600000000001</v>
      </c>
      <c r="I17" s="395">
        <v>308.83799999999997</v>
      </c>
      <c r="J17" s="395">
        <v>382.14</v>
      </c>
      <c r="K17" s="395">
        <v>324.79199999999997</v>
      </c>
      <c r="L17" s="395">
        <v>329.68799999999999</v>
      </c>
      <c r="M17" s="395">
        <v>335.54399999999998</v>
      </c>
      <c r="N17" s="395">
        <v>271.99799999999999</v>
      </c>
      <c r="O17" s="395">
        <v>340.79399999999998</v>
      </c>
      <c r="P17" s="395">
        <v>402.55200000000002</v>
      </c>
      <c r="Q17" s="395">
        <v>352.29</v>
      </c>
      <c r="R17" s="395">
        <v>334.15199999999999</v>
      </c>
      <c r="S17" s="395">
        <v>428.72399999999993</v>
      </c>
      <c r="T17" s="395">
        <v>344.64</v>
      </c>
      <c r="U17" s="395">
        <v>333.47399999999999</v>
      </c>
      <c r="V17" s="395">
        <v>383.59199999999998</v>
      </c>
      <c r="W17" s="395">
        <v>360.822</v>
      </c>
      <c r="X17" s="395">
        <v>324.108</v>
      </c>
      <c r="Y17" s="395">
        <v>322.89600000000002</v>
      </c>
      <c r="Z17" s="395">
        <v>260.04000000000002</v>
      </c>
      <c r="AA17" s="395">
        <v>303.64799999999997</v>
      </c>
      <c r="AB17" s="395">
        <v>361.92599999999999</v>
      </c>
      <c r="AC17" s="395">
        <v>296.75400000000002</v>
      </c>
      <c r="AD17" s="395">
        <v>312.62400000000002</v>
      </c>
      <c r="AE17" s="395">
        <v>355.584</v>
      </c>
      <c r="AF17" s="395">
        <v>268.30799999999999</v>
      </c>
      <c r="AG17" s="395">
        <v>279.37199999999996</v>
      </c>
      <c r="AH17" s="395">
        <v>337.21199999999999</v>
      </c>
      <c r="AI17" s="395">
        <v>308.68200000000002</v>
      </c>
      <c r="AJ17" s="395">
        <v>265.94399999999996</v>
      </c>
      <c r="AK17" s="395">
        <v>321.79199999999997</v>
      </c>
      <c r="AL17" s="395">
        <v>247.81200000000001</v>
      </c>
      <c r="AM17" s="395">
        <v>265.61399999999998</v>
      </c>
      <c r="AN17" s="395">
        <v>322.36199999999997</v>
      </c>
      <c r="AO17" s="395">
        <v>267.64799999999997</v>
      </c>
      <c r="AP17" s="395">
        <v>308.23199999999997</v>
      </c>
      <c r="AQ17" s="395">
        <v>356.50799999999998</v>
      </c>
      <c r="AR17" s="395">
        <v>335.46600000000001</v>
      </c>
      <c r="AS17" s="395">
        <v>333.60599999999999</v>
      </c>
      <c r="AT17" s="395">
        <v>332.64</v>
      </c>
      <c r="AU17" s="395">
        <v>283.77600000000001</v>
      </c>
      <c r="AV17" s="395">
        <v>292.77600000000001</v>
      </c>
      <c r="AW17" s="395">
        <v>330.79199999999997</v>
      </c>
      <c r="AX17" s="395">
        <v>273.63</v>
      </c>
      <c r="AY17" s="395">
        <v>305.75400000000002</v>
      </c>
      <c r="AZ17" s="395">
        <v>358.13400000000001</v>
      </c>
      <c r="BA17" s="395">
        <v>309.50400000000002</v>
      </c>
      <c r="BB17" s="395">
        <v>362.37</v>
      </c>
      <c r="BC17" s="395">
        <v>363.63</v>
      </c>
      <c r="BD17" s="395">
        <v>318.98400000000004</v>
      </c>
      <c r="BE17" s="395">
        <v>313.44</v>
      </c>
      <c r="BF17" s="395">
        <v>357.52200000000005</v>
      </c>
      <c r="BG17" s="395">
        <v>350.142</v>
      </c>
      <c r="BH17" s="395">
        <v>349.36199999999997</v>
      </c>
      <c r="BI17" s="395">
        <v>338.46</v>
      </c>
      <c r="BJ17" s="395">
        <v>263.29199999999997</v>
      </c>
      <c r="BK17" s="395">
        <v>286.90199999999999</v>
      </c>
      <c r="BL17" s="395">
        <v>347.50200000000001</v>
      </c>
      <c r="BM17" s="395">
        <v>296.80799999999999</v>
      </c>
      <c r="BN17" s="395">
        <v>264.16200000000003</v>
      </c>
      <c r="BO17" s="395">
        <v>335.56799999999998</v>
      </c>
      <c r="BP17" s="395">
        <v>245.70000000000002</v>
      </c>
      <c r="BQ17" s="395">
        <v>248.83199999999999</v>
      </c>
      <c r="BR17" s="395">
        <v>266.58</v>
      </c>
      <c r="BS17" s="395">
        <v>223.374</v>
      </c>
      <c r="BT17" s="395">
        <v>232.77</v>
      </c>
      <c r="BU17" s="395">
        <v>269.41200000000003</v>
      </c>
      <c r="BV17" s="395">
        <v>234.31799999999998</v>
      </c>
      <c r="BW17" s="395">
        <v>237.95999999999998</v>
      </c>
      <c r="BX17" s="395">
        <v>207.18</v>
      </c>
      <c r="BY17" s="395">
        <v>219.55800000000002</v>
      </c>
      <c r="BZ17" s="395">
        <v>227.34</v>
      </c>
      <c r="CA17" s="395">
        <v>298.95000000000005</v>
      </c>
      <c r="CB17" s="395">
        <v>251.202</v>
      </c>
      <c r="CC17" s="395">
        <v>209.28000000000003</v>
      </c>
      <c r="CD17" s="395">
        <v>327.06600000000003</v>
      </c>
      <c r="CE17" s="395">
        <v>274.98</v>
      </c>
      <c r="CF17" s="395">
        <v>290.928</v>
      </c>
      <c r="CG17" s="395">
        <v>298.404</v>
      </c>
      <c r="CH17" s="395">
        <v>239.964</v>
      </c>
      <c r="CI17" s="395">
        <v>257.226</v>
      </c>
      <c r="CJ17" s="395">
        <v>323.154</v>
      </c>
      <c r="CK17" s="395">
        <v>257.10000000000002</v>
      </c>
      <c r="CL17" s="395">
        <v>271.38</v>
      </c>
      <c r="CM17" s="395">
        <v>330.096</v>
      </c>
      <c r="CN17" s="395">
        <v>274.69799999999998</v>
      </c>
      <c r="CO17" s="395">
        <v>284.73</v>
      </c>
      <c r="CP17" s="395">
        <v>341.79</v>
      </c>
      <c r="CQ17" s="395">
        <v>280.28399999999999</v>
      </c>
      <c r="CR17" s="395">
        <v>278.976</v>
      </c>
      <c r="CS17" s="395">
        <v>248.196</v>
      </c>
      <c r="CT17" s="395">
        <v>155.88600000000002</v>
      </c>
      <c r="CU17" s="395">
        <v>176.11199999999999</v>
      </c>
      <c r="CV17" s="395">
        <v>213.33599999999998</v>
      </c>
      <c r="CW17" s="395">
        <v>177.16800000000001</v>
      </c>
      <c r="CX17" s="395">
        <v>170.346</v>
      </c>
      <c r="CY17" s="395">
        <v>180.36599999999999</v>
      </c>
      <c r="CZ17" s="395">
        <v>138.834</v>
      </c>
      <c r="DA17" s="395">
        <v>122.946</v>
      </c>
      <c r="DB17" s="395">
        <v>162.33600000000001</v>
      </c>
      <c r="DC17" s="395">
        <v>133.81800000000001</v>
      </c>
      <c r="DD17" s="395">
        <v>146.00399999999999</v>
      </c>
      <c r="DE17" s="395">
        <v>166.476</v>
      </c>
      <c r="DF17" s="395">
        <v>138.47999999999999</v>
      </c>
      <c r="DG17" s="395">
        <v>162.51599999999999</v>
      </c>
      <c r="DH17" s="395">
        <v>187.77</v>
      </c>
      <c r="DI17" s="395">
        <v>157.25399999999999</v>
      </c>
      <c r="DJ17" s="395">
        <v>175.10400000000001</v>
      </c>
      <c r="DK17" s="395">
        <v>224.54999999999998</v>
      </c>
      <c r="DL17" s="395">
        <v>199.96199999999999</v>
      </c>
      <c r="DM17" s="395">
        <v>228.12</v>
      </c>
      <c r="DN17" s="395">
        <v>231.45000000000002</v>
      </c>
      <c r="DO17" s="395">
        <v>215.53199999999998</v>
      </c>
      <c r="DP17" s="395">
        <v>194.79000000000002</v>
      </c>
      <c r="DQ17" s="395">
        <v>229.90199999999999</v>
      </c>
      <c r="DR17" s="395">
        <v>200.40600000000001</v>
      </c>
      <c r="DS17" s="395">
        <v>225.024</v>
      </c>
      <c r="DT17" s="395">
        <v>249.55800000000002</v>
      </c>
      <c r="DU17" s="395">
        <v>233.31</v>
      </c>
      <c r="DV17" s="395">
        <v>278.238</v>
      </c>
      <c r="DW17" s="395">
        <v>288.786</v>
      </c>
      <c r="DX17" s="395">
        <v>322.73400000000004</v>
      </c>
      <c r="DY17" s="395">
        <v>305.94</v>
      </c>
      <c r="DZ17" s="395">
        <v>350.13600000000002</v>
      </c>
      <c r="EA17" s="395">
        <v>342.68399999999997</v>
      </c>
      <c r="EB17" s="395">
        <v>353.87400000000002</v>
      </c>
      <c r="EC17" s="395">
        <v>363.65999999999997</v>
      </c>
      <c r="ED17" s="395">
        <v>355.524</v>
      </c>
      <c r="EE17" s="395">
        <v>349.73400000000004</v>
      </c>
      <c r="EF17" s="395">
        <v>374.37599999999998</v>
      </c>
      <c r="EG17" s="395">
        <v>340.68</v>
      </c>
      <c r="EH17" s="395">
        <v>335.67599999999999</v>
      </c>
      <c r="EI17" s="395">
        <v>352.96800000000002</v>
      </c>
      <c r="EJ17" s="395">
        <v>341.04</v>
      </c>
      <c r="EK17" s="395">
        <v>283.05600000000004</v>
      </c>
      <c r="EL17" s="395">
        <v>357.40199999999999</v>
      </c>
      <c r="EM17" s="395">
        <v>318.41399999999999</v>
      </c>
      <c r="EN17" s="395">
        <v>314.71199999999999</v>
      </c>
      <c r="EO17" s="395">
        <v>320.02800000000002</v>
      </c>
      <c r="EP17" s="395">
        <v>316.572</v>
      </c>
      <c r="EQ17" s="395">
        <v>321.666</v>
      </c>
      <c r="ER17" s="395">
        <v>363.62400000000002</v>
      </c>
      <c r="ES17" s="395">
        <v>272.71800000000002</v>
      </c>
      <c r="ET17" s="395">
        <v>247.89600000000002</v>
      </c>
      <c r="EU17" s="395">
        <v>276.76800000000003</v>
      </c>
      <c r="EV17" s="395">
        <v>265.28399999999999</v>
      </c>
      <c r="EW17" s="395">
        <v>254.43</v>
      </c>
      <c r="EX17" s="395">
        <v>238.38</v>
      </c>
      <c r="EY17" s="395">
        <v>230.00400000000002</v>
      </c>
      <c r="EZ17" s="395">
        <v>225.054</v>
      </c>
      <c r="FA17" s="395">
        <v>218.262</v>
      </c>
      <c r="FB17" s="395">
        <v>230.64600000000002</v>
      </c>
      <c r="FC17" s="395">
        <v>238.27800000000002</v>
      </c>
      <c r="FD17" s="395">
        <v>228.624</v>
      </c>
      <c r="FE17" s="395">
        <v>229.15799999999999</v>
      </c>
      <c r="FF17" s="395">
        <v>247.38</v>
      </c>
      <c r="FG17" s="395">
        <v>234.98400000000001</v>
      </c>
      <c r="FH17" s="395">
        <v>244.488</v>
      </c>
      <c r="FI17" s="395">
        <v>241.03800000000001</v>
      </c>
      <c r="FJ17" s="395">
        <v>238.50599999999997</v>
      </c>
      <c r="FK17" s="395">
        <v>257.19</v>
      </c>
      <c r="FL17" s="395">
        <v>235.41</v>
      </c>
      <c r="FM17" s="395">
        <v>232.30800000000002</v>
      </c>
      <c r="FN17" s="395">
        <v>201.096</v>
      </c>
      <c r="FO17" s="395">
        <v>215.55600000000001</v>
      </c>
      <c r="FP17" s="395">
        <v>221.56200000000001</v>
      </c>
      <c r="FQ17" s="395">
        <v>208.22399999999999</v>
      </c>
      <c r="FR17" s="395">
        <v>214.86</v>
      </c>
      <c r="FS17" s="395">
        <v>214.64400000000001</v>
      </c>
      <c r="FT17" s="395">
        <v>211.14600000000002</v>
      </c>
      <c r="FU17" s="395">
        <v>234.60000000000002</v>
      </c>
      <c r="FV17" s="395">
        <v>220.20000000000002</v>
      </c>
      <c r="FW17" s="395">
        <v>221.34</v>
      </c>
      <c r="FX17" s="395">
        <v>208.79399999999998</v>
      </c>
      <c r="FY17" s="395">
        <v>199.49400000000003</v>
      </c>
      <c r="FZ17" s="395">
        <v>208.91400000000002</v>
      </c>
      <c r="GA17" s="395">
        <v>296.56200000000001</v>
      </c>
      <c r="GB17" s="395">
        <v>368.47799999999995</v>
      </c>
      <c r="GC17" s="395">
        <v>369.62400000000002</v>
      </c>
      <c r="GD17" s="395">
        <v>369.42</v>
      </c>
      <c r="GE17" s="395">
        <v>375.846</v>
      </c>
      <c r="GF17" s="395">
        <v>258.89400000000001</v>
      </c>
      <c r="GG17" s="395">
        <v>283.50599999999997</v>
      </c>
      <c r="GH17" s="395">
        <v>271.33799999999997</v>
      </c>
      <c r="GI17" s="395">
        <v>295.53000000000003</v>
      </c>
      <c r="GJ17" s="395">
        <v>394.39800000000002</v>
      </c>
      <c r="GK17" s="395">
        <v>398.77200000000005</v>
      </c>
      <c r="GL17" s="395">
        <v>450.52200000000005</v>
      </c>
      <c r="GM17" s="395">
        <v>470.44200000000001</v>
      </c>
      <c r="GN17" s="395">
        <v>584.62199999999996</v>
      </c>
      <c r="GO17" s="395">
        <v>753.99599999999998</v>
      </c>
      <c r="GP17" s="395">
        <v>847.08</v>
      </c>
      <c r="GQ17" s="395">
        <v>788.11200000000008</v>
      </c>
      <c r="GR17" s="395">
        <v>944.98799999999994</v>
      </c>
      <c r="GS17" s="395">
        <v>876.81600000000003</v>
      </c>
      <c r="GT17" s="395">
        <v>867.28199999999993</v>
      </c>
      <c r="GU17" s="395">
        <v>878.06999999999994</v>
      </c>
      <c r="GV17" s="395">
        <v>1102.626</v>
      </c>
      <c r="GW17" s="395">
        <v>1071.288</v>
      </c>
      <c r="GX17" s="395">
        <v>1252.134</v>
      </c>
      <c r="GY17" s="395">
        <v>1042.1279999999999</v>
      </c>
      <c r="GZ17" s="395">
        <v>1113.99</v>
      </c>
      <c r="HA17" s="395">
        <v>1233.9960000000001</v>
      </c>
      <c r="HB17" s="395">
        <v>1407.078</v>
      </c>
      <c r="HC17" s="395">
        <v>1442.046</v>
      </c>
      <c r="HD17" s="395">
        <v>1499.2139999999999</v>
      </c>
      <c r="HE17" s="395">
        <v>1629.1799999999998</v>
      </c>
      <c r="HF17" s="395">
        <v>1739.172</v>
      </c>
      <c r="HG17" s="395">
        <v>1822.6860000000001</v>
      </c>
      <c r="HH17" s="395">
        <v>1919.2440000000001</v>
      </c>
      <c r="HI17" s="395">
        <v>1703.67</v>
      </c>
      <c r="HJ17" s="395">
        <v>1779.0720000000001</v>
      </c>
      <c r="HK17" s="395">
        <v>2165.4839999999999</v>
      </c>
      <c r="HL17" s="395">
        <v>2076.402</v>
      </c>
      <c r="HM17" s="395">
        <v>2058.6000000000004</v>
      </c>
      <c r="HN17" s="395">
        <v>2226.0660000000003</v>
      </c>
      <c r="HO17" s="395">
        <v>2136.9119999999998</v>
      </c>
      <c r="HP17" s="395">
        <v>2229.6480000000001</v>
      </c>
      <c r="HQ17" s="395">
        <v>1916.598</v>
      </c>
      <c r="HR17" s="395">
        <v>1662.954</v>
      </c>
      <c r="HS17" s="395">
        <v>1656.5039999999999</v>
      </c>
      <c r="HT17" s="395">
        <v>1080.3899999999999</v>
      </c>
      <c r="HU17" s="395">
        <v>931.18200000000002</v>
      </c>
      <c r="HV17" s="395">
        <v>906.35400000000004</v>
      </c>
      <c r="HW17" s="395">
        <v>926.63400000000001</v>
      </c>
      <c r="HX17" s="395">
        <v>848.47199999999998</v>
      </c>
      <c r="HY17" s="395">
        <v>823.84199999999987</v>
      </c>
      <c r="HZ17" s="395">
        <v>885.61800000000005</v>
      </c>
      <c r="IA17" s="395">
        <v>854.73</v>
      </c>
      <c r="IB17" s="395">
        <v>763.97399999999993</v>
      </c>
      <c r="IC17" s="395">
        <v>746.13</v>
      </c>
      <c r="ID17" s="395">
        <v>738.92399999999998</v>
      </c>
      <c r="IE17" s="395">
        <v>766.05600000000004</v>
      </c>
      <c r="IF17" s="395">
        <v>718.06799999999998</v>
      </c>
      <c r="IG17" s="395">
        <v>673.65000000000009</v>
      </c>
      <c r="IH17" s="395">
        <v>673.69200000000001</v>
      </c>
      <c r="II17" s="395">
        <v>684.94799999999998</v>
      </c>
      <c r="IJ17" s="395">
        <v>759.10799999999995</v>
      </c>
      <c r="IK17" s="395">
        <v>732.43799999999999</v>
      </c>
      <c r="IL17" s="395">
        <v>789.49199999999996</v>
      </c>
      <c r="IM17" s="395">
        <v>830.22</v>
      </c>
      <c r="IN17" s="15">
        <v>868.60199999999998</v>
      </c>
      <c r="IO17" s="15">
        <v>891.94799999999987</v>
      </c>
      <c r="IP17" s="15">
        <v>935.53199999999993</v>
      </c>
      <c r="IQ17" s="15">
        <v>1017.954</v>
      </c>
      <c r="IR17" s="15">
        <v>1097.0340000000001</v>
      </c>
      <c r="IS17" s="15">
        <v>1119.384</v>
      </c>
      <c r="IT17" s="15">
        <v>1153.3679999999999</v>
      </c>
      <c r="IU17" s="15">
        <v>1301.2560000000001</v>
      </c>
      <c r="IV17" s="15">
        <v>1416.798</v>
      </c>
      <c r="IW17" s="15">
        <v>1343.758</v>
      </c>
      <c r="IX17" s="15">
        <v>2014.318</v>
      </c>
      <c r="IY17" s="15">
        <v>2188.44</v>
      </c>
      <c r="IZ17" s="15">
        <v>2522.174</v>
      </c>
      <c r="JA17" s="15">
        <v>2784.518</v>
      </c>
      <c r="JB17" s="15">
        <v>3141.3220000000001</v>
      </c>
      <c r="JC17" s="15">
        <v>4014.04</v>
      </c>
      <c r="JD17" s="15">
        <v>4226.6279999999997</v>
      </c>
      <c r="JE17" s="447">
        <v>3979.4119999999998</v>
      </c>
    </row>
    <row r="18" spans="1:265" x14ac:dyDescent="0.3">
      <c r="A18" s="394" t="s">
        <v>90</v>
      </c>
      <c r="B18" s="392">
        <v>1699.248</v>
      </c>
      <c r="C18" s="392">
        <v>1389.702</v>
      </c>
      <c r="D18" s="392">
        <v>1423.002</v>
      </c>
      <c r="E18" s="392">
        <v>1362.6960000000001</v>
      </c>
      <c r="F18" s="392">
        <v>1681.7159999999999</v>
      </c>
      <c r="G18" s="392">
        <v>1506.66</v>
      </c>
      <c r="H18" s="392">
        <v>1572.444</v>
      </c>
      <c r="I18" s="392">
        <v>1535.598</v>
      </c>
      <c r="J18" s="392">
        <v>1476.03</v>
      </c>
      <c r="K18" s="392">
        <v>1541.2740000000001</v>
      </c>
      <c r="L18" s="392">
        <v>1490.79</v>
      </c>
      <c r="M18" s="392">
        <v>1498.278</v>
      </c>
      <c r="N18" s="392">
        <v>1172.73</v>
      </c>
      <c r="O18" s="392">
        <v>1248.702</v>
      </c>
      <c r="P18" s="392">
        <v>1151.502</v>
      </c>
      <c r="Q18" s="392">
        <v>1327.386</v>
      </c>
      <c r="R18" s="392">
        <v>1239.0899999999999</v>
      </c>
      <c r="S18" s="392">
        <v>1118.7840000000001</v>
      </c>
      <c r="T18" s="392">
        <v>1209.21</v>
      </c>
      <c r="U18" s="392">
        <v>1208.886</v>
      </c>
      <c r="V18" s="392">
        <v>1387.3320000000001</v>
      </c>
      <c r="W18" s="392">
        <v>1202.0820000000001</v>
      </c>
      <c r="X18" s="392">
        <v>1201.404</v>
      </c>
      <c r="Y18" s="392">
        <v>1210.6860000000001</v>
      </c>
      <c r="Z18" s="392">
        <v>1117.7460000000001</v>
      </c>
      <c r="AA18" s="392">
        <v>1153.806</v>
      </c>
      <c r="AB18" s="392">
        <v>1098.144</v>
      </c>
      <c r="AC18" s="392">
        <v>1122.204</v>
      </c>
      <c r="AD18" s="392">
        <v>1034.874</v>
      </c>
      <c r="AE18" s="392">
        <v>1072.932</v>
      </c>
      <c r="AF18" s="392">
        <v>1160.9159999999999</v>
      </c>
      <c r="AG18" s="392">
        <v>1075.9559999999999</v>
      </c>
      <c r="AH18" s="392">
        <v>1062.306</v>
      </c>
      <c r="AI18" s="392">
        <v>1086.402</v>
      </c>
      <c r="AJ18" s="392">
        <v>1098.048</v>
      </c>
      <c r="AK18" s="392">
        <v>1172.6279999999999</v>
      </c>
      <c r="AL18" s="392">
        <v>1113.1320000000001</v>
      </c>
      <c r="AM18" s="392">
        <v>1139.202</v>
      </c>
      <c r="AN18" s="392">
        <v>1080.5340000000001</v>
      </c>
      <c r="AO18" s="392">
        <v>1014.8399999999999</v>
      </c>
      <c r="AP18" s="392">
        <v>1066.6619999999998</v>
      </c>
      <c r="AQ18" s="392">
        <v>980.20799999999997</v>
      </c>
      <c r="AR18" s="392">
        <v>1097.268</v>
      </c>
      <c r="AS18" s="392">
        <v>994.27199999999993</v>
      </c>
      <c r="AT18" s="392">
        <v>997.91399999999999</v>
      </c>
      <c r="AU18" s="392">
        <v>986.83200000000011</v>
      </c>
      <c r="AV18" s="392">
        <v>1032.144</v>
      </c>
      <c r="AW18" s="392">
        <v>1152.8399999999999</v>
      </c>
      <c r="AX18" s="392">
        <v>1005.822</v>
      </c>
      <c r="AY18" s="392">
        <v>1040.934</v>
      </c>
      <c r="AZ18" s="392">
        <v>1121.25</v>
      </c>
      <c r="BA18" s="392">
        <v>1083.894</v>
      </c>
      <c r="BB18" s="392">
        <v>1091.8620000000001</v>
      </c>
      <c r="BC18" s="392">
        <v>1212.126</v>
      </c>
      <c r="BD18" s="392">
        <v>1256.9159999999999</v>
      </c>
      <c r="BE18" s="392">
        <v>1196.778</v>
      </c>
      <c r="BF18" s="392">
        <v>1161.1979999999999</v>
      </c>
      <c r="BG18" s="392">
        <v>1188.1559999999999</v>
      </c>
      <c r="BH18" s="392">
        <v>1203.5820000000001</v>
      </c>
      <c r="BI18" s="392">
        <v>1234.3620000000001</v>
      </c>
      <c r="BJ18" s="392">
        <v>1188.5999999999999</v>
      </c>
      <c r="BK18" s="392">
        <v>1283.364</v>
      </c>
      <c r="BL18" s="392">
        <v>1316.682</v>
      </c>
      <c r="BM18" s="392">
        <v>1195.902</v>
      </c>
      <c r="BN18" s="392">
        <v>1255.3320000000001</v>
      </c>
      <c r="BO18" s="392">
        <v>1283.616</v>
      </c>
      <c r="BP18" s="392">
        <v>1346.22</v>
      </c>
      <c r="BQ18" s="392">
        <v>1271.22</v>
      </c>
      <c r="BR18" s="392">
        <v>1262.4059999999999</v>
      </c>
      <c r="BS18" s="392">
        <v>1265.586</v>
      </c>
      <c r="BT18" s="392">
        <v>1278.2460000000001</v>
      </c>
      <c r="BU18" s="392">
        <v>1322.7180000000001</v>
      </c>
      <c r="BV18" s="392">
        <v>1221.876</v>
      </c>
      <c r="BW18" s="392">
        <v>1312.1999999999998</v>
      </c>
      <c r="BX18" s="392">
        <v>1306.806</v>
      </c>
      <c r="BY18" s="392">
        <v>1289.694</v>
      </c>
      <c r="BZ18" s="392">
        <v>1276.02</v>
      </c>
      <c r="CA18" s="392">
        <v>1370.5619999999999</v>
      </c>
      <c r="CB18" s="392">
        <v>1263.432</v>
      </c>
      <c r="CC18" s="392">
        <v>1306.722</v>
      </c>
      <c r="CD18" s="392">
        <v>1246.866</v>
      </c>
      <c r="CE18" s="392">
        <v>1243.9559999999999</v>
      </c>
      <c r="CF18" s="392">
        <v>1289.076</v>
      </c>
      <c r="CG18" s="392">
        <v>1303.848</v>
      </c>
      <c r="CH18" s="392">
        <v>1176.1500000000001</v>
      </c>
      <c r="CI18" s="392">
        <v>1266.3600000000001</v>
      </c>
      <c r="CJ18" s="392">
        <v>1263.558</v>
      </c>
      <c r="CK18" s="392">
        <v>1215.8879999999999</v>
      </c>
      <c r="CL18" s="392">
        <v>1214.172</v>
      </c>
      <c r="CM18" s="392">
        <v>1296.6120000000001</v>
      </c>
      <c r="CN18" s="392">
        <v>1176.654</v>
      </c>
      <c r="CO18" s="392">
        <v>1198.566</v>
      </c>
      <c r="CP18" s="392">
        <v>1224.192</v>
      </c>
      <c r="CQ18" s="392">
        <v>1269.114</v>
      </c>
      <c r="CR18" s="392">
        <v>1181.424</v>
      </c>
      <c r="CS18" s="392">
        <v>1139.604</v>
      </c>
      <c r="CT18" s="392">
        <v>1094.7359999999999</v>
      </c>
      <c r="CU18" s="392">
        <v>1199.778</v>
      </c>
      <c r="CV18" s="392">
        <v>1203.5219999999999</v>
      </c>
      <c r="CW18" s="392">
        <v>1206.8399999999999</v>
      </c>
      <c r="CX18" s="392">
        <v>1086.4499999999998</v>
      </c>
      <c r="CY18" s="392">
        <v>1046.4059999999999</v>
      </c>
      <c r="CZ18" s="392">
        <v>958.82400000000007</v>
      </c>
      <c r="DA18" s="392">
        <v>970.2059999999999</v>
      </c>
      <c r="DB18" s="392">
        <v>982.32600000000002</v>
      </c>
      <c r="DC18" s="392">
        <v>901.32600000000002</v>
      </c>
      <c r="DD18" s="392">
        <v>938.5619999999999</v>
      </c>
      <c r="DE18" s="392">
        <v>930.39599999999996</v>
      </c>
      <c r="DF18" s="392">
        <v>839.346</v>
      </c>
      <c r="DG18" s="392">
        <v>873.39</v>
      </c>
      <c r="DH18" s="392">
        <v>911.40600000000006</v>
      </c>
      <c r="DI18" s="392">
        <v>868.67399999999998</v>
      </c>
      <c r="DJ18" s="392">
        <v>868.90200000000004</v>
      </c>
      <c r="DK18" s="392">
        <v>845.74199999999996</v>
      </c>
      <c r="DL18" s="392">
        <v>792.78600000000006</v>
      </c>
      <c r="DM18" s="392">
        <v>824.89200000000005</v>
      </c>
      <c r="DN18" s="392">
        <v>797.52599999999995</v>
      </c>
      <c r="DO18" s="392">
        <v>786.50400000000002</v>
      </c>
      <c r="DP18" s="392">
        <v>846.71399999999994</v>
      </c>
      <c r="DQ18" s="392">
        <v>804.51</v>
      </c>
      <c r="DR18" s="392">
        <v>744.15000000000009</v>
      </c>
      <c r="DS18" s="392">
        <v>828.90000000000009</v>
      </c>
      <c r="DT18" s="392">
        <v>835.27199999999993</v>
      </c>
      <c r="DU18" s="392">
        <v>815.55599999999993</v>
      </c>
      <c r="DV18" s="392">
        <v>848.79600000000005</v>
      </c>
      <c r="DW18" s="392">
        <v>843.33</v>
      </c>
      <c r="DX18" s="392">
        <v>836.11800000000005</v>
      </c>
      <c r="DY18" s="392">
        <v>856.44600000000014</v>
      </c>
      <c r="DZ18" s="392">
        <v>843.42</v>
      </c>
      <c r="EA18" s="392">
        <v>856.98</v>
      </c>
      <c r="EB18" s="392">
        <v>891.25800000000004</v>
      </c>
      <c r="EC18" s="392">
        <v>880.60199999999998</v>
      </c>
      <c r="ED18" s="392">
        <v>892.56600000000003</v>
      </c>
      <c r="EE18" s="392">
        <v>949.22400000000005</v>
      </c>
      <c r="EF18" s="392">
        <v>946.596</v>
      </c>
      <c r="EG18" s="392">
        <v>879.91799999999989</v>
      </c>
      <c r="EH18" s="392">
        <v>965.13599999999997</v>
      </c>
      <c r="EI18" s="392">
        <v>883.14</v>
      </c>
      <c r="EJ18" s="392">
        <v>932.49599999999998</v>
      </c>
      <c r="EK18" s="392">
        <v>919.25400000000002</v>
      </c>
      <c r="EL18" s="392">
        <v>893.81399999999996</v>
      </c>
      <c r="EM18" s="392">
        <v>914.33400000000006</v>
      </c>
      <c r="EN18" s="392">
        <v>907.71600000000001</v>
      </c>
      <c r="EO18" s="392">
        <v>792.69600000000014</v>
      </c>
      <c r="EP18" s="392">
        <v>849.89400000000001</v>
      </c>
      <c r="EQ18" s="392">
        <v>883.84799999999996</v>
      </c>
      <c r="ER18" s="392">
        <v>833.27399999999989</v>
      </c>
      <c r="ES18" s="392">
        <v>868.5</v>
      </c>
      <c r="ET18" s="392">
        <v>806.97</v>
      </c>
      <c r="EU18" s="392">
        <v>766.34400000000005</v>
      </c>
      <c r="EV18" s="392">
        <v>791.82600000000002</v>
      </c>
      <c r="EW18" s="392">
        <v>760.98599999999999</v>
      </c>
      <c r="EX18" s="392">
        <v>734.09999999999991</v>
      </c>
      <c r="EY18" s="392">
        <v>758.37</v>
      </c>
      <c r="EZ18" s="392">
        <v>750.67200000000003</v>
      </c>
      <c r="FA18" s="392">
        <v>697.96199999999999</v>
      </c>
      <c r="FB18" s="392">
        <v>687.798</v>
      </c>
      <c r="FC18" s="392">
        <v>738.01800000000003</v>
      </c>
      <c r="FD18" s="392">
        <v>797.37599999999998</v>
      </c>
      <c r="FE18" s="392">
        <v>725.83199999999999</v>
      </c>
      <c r="FF18" s="392">
        <v>744.72</v>
      </c>
      <c r="FG18" s="392">
        <v>733.96199999999999</v>
      </c>
      <c r="FH18" s="392">
        <v>745.428</v>
      </c>
      <c r="FI18" s="392">
        <v>726.23400000000004</v>
      </c>
      <c r="FJ18" s="392">
        <v>704.37</v>
      </c>
      <c r="FK18" s="392">
        <v>708.654</v>
      </c>
      <c r="FL18" s="392">
        <v>719.92200000000003</v>
      </c>
      <c r="FM18" s="392">
        <v>647.04</v>
      </c>
      <c r="FN18" s="392">
        <v>682.2059999999999</v>
      </c>
      <c r="FO18" s="392">
        <v>727.65599999999995</v>
      </c>
      <c r="FP18" s="392">
        <v>779.08800000000008</v>
      </c>
      <c r="FQ18" s="392">
        <v>758.81999999999994</v>
      </c>
      <c r="FR18" s="392">
        <v>827.05799999999999</v>
      </c>
      <c r="FS18" s="392">
        <v>781.35599999999999</v>
      </c>
      <c r="FT18" s="392">
        <v>819.678</v>
      </c>
      <c r="FU18" s="392">
        <v>827.97600000000011</v>
      </c>
      <c r="FV18" s="392">
        <v>827.05200000000013</v>
      </c>
      <c r="FW18" s="392">
        <v>873.00600000000009</v>
      </c>
      <c r="FX18" s="392">
        <v>830.01600000000008</v>
      </c>
      <c r="FY18" s="392">
        <v>753.85799999999995</v>
      </c>
      <c r="FZ18" s="392">
        <v>768.18000000000006</v>
      </c>
      <c r="GA18" s="392">
        <v>813.678</v>
      </c>
      <c r="GB18" s="392">
        <v>805.26600000000008</v>
      </c>
      <c r="GC18" s="392">
        <v>787.68600000000004</v>
      </c>
      <c r="GD18" s="392">
        <v>811.99199999999996</v>
      </c>
      <c r="GE18" s="392">
        <v>791.81999999999994</v>
      </c>
      <c r="GF18" s="392">
        <v>791.69400000000007</v>
      </c>
      <c r="GG18" s="392">
        <v>813.12000000000012</v>
      </c>
      <c r="GH18" s="392">
        <v>799.93200000000002</v>
      </c>
      <c r="GI18" s="392">
        <v>815.97600000000011</v>
      </c>
      <c r="GJ18" s="392">
        <v>820.54200000000003</v>
      </c>
      <c r="GK18" s="392">
        <v>754.61400000000003</v>
      </c>
      <c r="GL18" s="392">
        <v>744.42599999999993</v>
      </c>
      <c r="GM18" s="392">
        <v>804.72</v>
      </c>
      <c r="GN18" s="392">
        <v>876.38400000000001</v>
      </c>
      <c r="GO18" s="392">
        <v>725.43000000000006</v>
      </c>
      <c r="GP18" s="392">
        <v>834.88199999999995</v>
      </c>
      <c r="GQ18" s="392">
        <v>802.76400000000012</v>
      </c>
      <c r="GR18" s="392">
        <v>824.64599999999996</v>
      </c>
      <c r="GS18" s="392">
        <v>841.22400000000005</v>
      </c>
      <c r="GT18" s="392">
        <v>779.23799999999994</v>
      </c>
      <c r="GU18" s="392">
        <v>805.50600000000009</v>
      </c>
      <c r="GV18" s="392">
        <v>834.67200000000003</v>
      </c>
      <c r="GW18" s="392">
        <v>787.33800000000008</v>
      </c>
      <c r="GX18" s="392">
        <v>841.00199999999995</v>
      </c>
      <c r="GY18" s="392">
        <v>826.0619999999999</v>
      </c>
      <c r="GZ18" s="392">
        <v>894.37200000000007</v>
      </c>
      <c r="HA18" s="392">
        <v>846.822</v>
      </c>
      <c r="HB18" s="392">
        <v>919.52399999999989</v>
      </c>
      <c r="HC18" s="392">
        <v>862.71</v>
      </c>
      <c r="HD18" s="392">
        <v>871.28399999999999</v>
      </c>
      <c r="HE18" s="392">
        <v>937.17599999999993</v>
      </c>
      <c r="HF18" s="392">
        <v>836.08200000000011</v>
      </c>
      <c r="HG18" s="392">
        <v>978.64200000000005</v>
      </c>
      <c r="HH18" s="392">
        <v>975.23399999999992</v>
      </c>
      <c r="HI18" s="392">
        <v>876.79200000000003</v>
      </c>
      <c r="HJ18" s="392">
        <v>933.02399999999989</v>
      </c>
      <c r="HK18" s="392">
        <v>916.41599999999994</v>
      </c>
      <c r="HL18" s="392">
        <v>916.84799999999996</v>
      </c>
      <c r="HM18" s="392">
        <v>934.18200000000002</v>
      </c>
      <c r="HN18" s="392">
        <v>964.33800000000008</v>
      </c>
      <c r="HO18" s="392">
        <v>942.56999999999994</v>
      </c>
      <c r="HP18" s="444">
        <v>992.84399999999994</v>
      </c>
      <c r="HQ18" s="444">
        <v>948.654</v>
      </c>
      <c r="HR18" s="444">
        <v>929.62799999999993</v>
      </c>
      <c r="HS18" s="444">
        <v>967.30200000000013</v>
      </c>
      <c r="HT18" s="444">
        <v>957.73799999999994</v>
      </c>
      <c r="HU18" s="444">
        <v>861.60599999999999</v>
      </c>
      <c r="HV18" s="392">
        <v>935.08200000000011</v>
      </c>
      <c r="HW18" s="392">
        <v>931.32600000000002</v>
      </c>
      <c r="HX18" s="392">
        <v>957.42599999999993</v>
      </c>
      <c r="HY18" s="392">
        <v>835.21800000000007</v>
      </c>
      <c r="HZ18" s="392">
        <v>932.71199999999999</v>
      </c>
      <c r="IA18" s="392">
        <v>927.91799999999989</v>
      </c>
      <c r="IB18" s="392">
        <v>956.97</v>
      </c>
      <c r="IC18" s="392">
        <v>901.71600000000001</v>
      </c>
      <c r="ID18" s="392">
        <v>896.87400000000002</v>
      </c>
      <c r="IE18" s="392">
        <v>915.28800000000001</v>
      </c>
      <c r="IF18" s="392">
        <v>915.73799999999994</v>
      </c>
      <c r="IG18" s="392">
        <v>869.81999999999994</v>
      </c>
      <c r="IH18" s="392">
        <v>855.87599999999998</v>
      </c>
      <c r="II18" s="392">
        <v>871.30200000000013</v>
      </c>
      <c r="IJ18" s="392">
        <v>1001.4839999999999</v>
      </c>
      <c r="IK18" s="392">
        <v>863.74800000000005</v>
      </c>
      <c r="IL18" s="392">
        <v>974.08200000000011</v>
      </c>
      <c r="IM18" s="392">
        <v>922.94400000000007</v>
      </c>
      <c r="IN18" s="444">
        <v>955.8119999999999</v>
      </c>
      <c r="IO18" s="444">
        <v>959.91599999999994</v>
      </c>
      <c r="IP18" s="444">
        <v>953.86200000000008</v>
      </c>
      <c r="IQ18" s="444">
        <v>973.1880000000001</v>
      </c>
      <c r="IR18" s="444">
        <v>1014.7620000000001</v>
      </c>
      <c r="IS18" s="444">
        <v>942.68399999999997</v>
      </c>
      <c r="IT18" s="444">
        <v>923.76600000000008</v>
      </c>
      <c r="IU18" s="444">
        <v>990.24</v>
      </c>
      <c r="IV18" s="444">
        <v>1049.694</v>
      </c>
      <c r="IW18" s="445">
        <v>1077.7460000000001</v>
      </c>
      <c r="IX18" s="445">
        <v>1135.018</v>
      </c>
      <c r="IY18" s="445">
        <v>1254.7860000000001</v>
      </c>
      <c r="IZ18" s="445">
        <v>1253.2819999999999</v>
      </c>
      <c r="JA18" s="445">
        <v>1261.27</v>
      </c>
      <c r="JB18" s="445">
        <v>1226.2819999999999</v>
      </c>
      <c r="JC18" s="445">
        <v>1319.2739999999999</v>
      </c>
      <c r="JD18" s="445">
        <v>1320.154</v>
      </c>
      <c r="JE18" s="446">
        <v>1254.8019999999999</v>
      </c>
    </row>
    <row r="19" spans="1:265" x14ac:dyDescent="0.3">
      <c r="A19" s="394" t="s">
        <v>91</v>
      </c>
      <c r="B19" s="395">
        <v>2459.2979999999998</v>
      </c>
      <c r="C19" s="395">
        <v>2385.348</v>
      </c>
      <c r="D19" s="395">
        <v>3611.58</v>
      </c>
      <c r="E19" s="395">
        <v>2509.7460000000001</v>
      </c>
      <c r="F19" s="395">
        <v>2739.3779999999997</v>
      </c>
      <c r="G19" s="395">
        <v>2540.2139999999999</v>
      </c>
      <c r="H19" s="395">
        <v>2680.0619999999999</v>
      </c>
      <c r="I19" s="395">
        <v>2509.482</v>
      </c>
      <c r="J19" s="395">
        <v>2317.3319999999999</v>
      </c>
      <c r="K19" s="395">
        <v>2480.6279999999997</v>
      </c>
      <c r="L19" s="395">
        <v>2629.1459999999997</v>
      </c>
      <c r="M19" s="395">
        <v>2475.174</v>
      </c>
      <c r="N19" s="395">
        <v>2477.2559999999999</v>
      </c>
      <c r="O19" s="395">
        <v>2501.7719999999999</v>
      </c>
      <c r="P19" s="395">
        <v>2405.7359999999999</v>
      </c>
      <c r="Q19" s="395">
        <v>2422.3559999999998</v>
      </c>
      <c r="R19" s="395">
        <v>2445.7200000000003</v>
      </c>
      <c r="S19" s="395">
        <v>2334.42</v>
      </c>
      <c r="T19" s="395">
        <v>2461.884</v>
      </c>
      <c r="U19" s="395">
        <v>2350.6260000000002</v>
      </c>
      <c r="V19" s="395">
        <v>2258.634</v>
      </c>
      <c r="W19" s="395">
        <v>2281.7579999999998</v>
      </c>
      <c r="X19" s="395">
        <v>2373.0839999999998</v>
      </c>
      <c r="Y19" s="395">
        <v>2315.538</v>
      </c>
      <c r="Z19" s="395">
        <v>2276.9879999999998</v>
      </c>
      <c r="AA19" s="395">
        <v>2268.3239999999996</v>
      </c>
      <c r="AB19" s="395">
        <v>2400.8339999999998</v>
      </c>
      <c r="AC19" s="395">
        <v>2386.6440000000002</v>
      </c>
      <c r="AD19" s="395">
        <v>2531.4180000000001</v>
      </c>
      <c r="AE19" s="395">
        <v>2505.1980000000003</v>
      </c>
      <c r="AF19" s="395">
        <v>3177.942</v>
      </c>
      <c r="AG19" s="395">
        <v>2420.556</v>
      </c>
      <c r="AH19" s="395">
        <v>2456.8980000000001</v>
      </c>
      <c r="AI19" s="395">
        <v>2423.7539999999999</v>
      </c>
      <c r="AJ19" s="395">
        <v>2370.1619999999998</v>
      </c>
      <c r="AK19" s="395">
        <v>2458.806</v>
      </c>
      <c r="AL19" s="395">
        <v>2343.1980000000003</v>
      </c>
      <c r="AM19" s="395">
        <v>2469</v>
      </c>
      <c r="AN19" s="395">
        <v>2798.5259999999998</v>
      </c>
      <c r="AO19" s="395">
        <v>2577.4079999999999</v>
      </c>
      <c r="AP19" s="395">
        <v>2667.5160000000001</v>
      </c>
      <c r="AQ19" s="395">
        <v>2761.5</v>
      </c>
      <c r="AR19" s="395">
        <v>2747.8139999999999</v>
      </c>
      <c r="AS19" s="395">
        <v>2836.14</v>
      </c>
      <c r="AT19" s="395">
        <v>2679.5099999999998</v>
      </c>
      <c r="AU19" s="395">
        <v>2878.3019999999997</v>
      </c>
      <c r="AV19" s="395">
        <v>2826.8760000000002</v>
      </c>
      <c r="AW19" s="395">
        <v>2878.5360000000001</v>
      </c>
      <c r="AX19" s="395">
        <v>2889.0419999999999</v>
      </c>
      <c r="AY19" s="395">
        <v>2812.7640000000001</v>
      </c>
      <c r="AZ19" s="395">
        <v>2977.8540000000003</v>
      </c>
      <c r="BA19" s="395">
        <v>2972.2080000000001</v>
      </c>
      <c r="BB19" s="395">
        <v>3057.8999999999996</v>
      </c>
      <c r="BC19" s="395">
        <v>3241.4700000000003</v>
      </c>
      <c r="BD19" s="395">
        <v>3367.9439999999995</v>
      </c>
      <c r="BE19" s="395">
        <v>3365.8740000000003</v>
      </c>
      <c r="BF19" s="395">
        <v>3202.7699999999995</v>
      </c>
      <c r="BG19" s="395">
        <v>3220.0260000000003</v>
      </c>
      <c r="BH19" s="395">
        <v>3282.576</v>
      </c>
      <c r="BI19" s="395">
        <v>3107.46</v>
      </c>
      <c r="BJ19" s="395">
        <v>3131.0940000000001</v>
      </c>
      <c r="BK19" s="395">
        <v>3216.4079999999999</v>
      </c>
      <c r="BL19" s="395">
        <v>3509.6880000000001</v>
      </c>
      <c r="BM19" s="395">
        <v>3254.3339999999998</v>
      </c>
      <c r="BN19" s="395">
        <v>3532.6080000000002</v>
      </c>
      <c r="BO19" s="395">
        <v>3405.366</v>
      </c>
      <c r="BP19" s="395">
        <v>3427.7039999999997</v>
      </c>
      <c r="BQ19" s="395">
        <v>3686.9459999999999</v>
      </c>
      <c r="BR19" s="395">
        <v>3488.9580000000005</v>
      </c>
      <c r="BS19" s="395">
        <v>3681.3180000000002</v>
      </c>
      <c r="BT19" s="395">
        <v>3793.7460000000001</v>
      </c>
      <c r="BU19" s="395">
        <v>3612.8820000000005</v>
      </c>
      <c r="BV19" s="395">
        <v>3890.4120000000003</v>
      </c>
      <c r="BW19" s="395">
        <v>3746.3159999999998</v>
      </c>
      <c r="BX19" s="395">
        <v>4092.8999999999996</v>
      </c>
      <c r="BY19" s="395">
        <v>3998.3999999999996</v>
      </c>
      <c r="BZ19" s="395">
        <v>4445.0460000000003</v>
      </c>
      <c r="CA19" s="395">
        <v>4592.7300000000005</v>
      </c>
      <c r="CB19" s="395">
        <v>4593.7080000000005</v>
      </c>
      <c r="CC19" s="395">
        <v>4668.5879999999997</v>
      </c>
      <c r="CD19" s="395">
        <v>4394.268</v>
      </c>
      <c r="CE19" s="395">
        <v>4611.8459999999995</v>
      </c>
      <c r="CF19" s="395">
        <v>4542.8159999999998</v>
      </c>
      <c r="CG19" s="395">
        <v>4581.8999999999996</v>
      </c>
      <c r="CH19" s="395">
        <v>4838.91</v>
      </c>
      <c r="CI19" s="395">
        <v>4693.8119999999999</v>
      </c>
      <c r="CJ19" s="395">
        <v>4768.92</v>
      </c>
      <c r="CK19" s="395">
        <v>4815.8760000000002</v>
      </c>
      <c r="CL19" s="395">
        <v>5040.6959999999999</v>
      </c>
      <c r="CM19" s="395">
        <v>4948.326</v>
      </c>
      <c r="CN19" s="395">
        <v>5072.6279999999997</v>
      </c>
      <c r="CO19" s="395">
        <v>4798.53</v>
      </c>
      <c r="CP19" s="395">
        <v>4767.8639999999996</v>
      </c>
      <c r="CQ19" s="395">
        <v>4978.884</v>
      </c>
      <c r="CR19" s="395">
        <v>4951.7939999999999</v>
      </c>
      <c r="CS19" s="395">
        <v>4792.3140000000003</v>
      </c>
      <c r="CT19" s="395">
        <v>4673.9400000000005</v>
      </c>
      <c r="CU19" s="395">
        <v>4299.51</v>
      </c>
      <c r="CV19" s="395">
        <v>4217.1719999999996</v>
      </c>
      <c r="CW19" s="395">
        <v>3850.1939999999995</v>
      </c>
      <c r="CX19" s="395">
        <v>3819.462</v>
      </c>
      <c r="CY19" s="395">
        <v>3854.2740000000003</v>
      </c>
      <c r="CZ19" s="395">
        <v>4033.7159999999994</v>
      </c>
      <c r="DA19" s="395">
        <v>3955.3740000000003</v>
      </c>
      <c r="DB19" s="395">
        <v>3840.5879999999997</v>
      </c>
      <c r="DC19" s="395">
        <v>3817.1819999999998</v>
      </c>
      <c r="DD19" s="395">
        <v>3776.3040000000001</v>
      </c>
      <c r="DE19" s="395">
        <v>3664.3559999999998</v>
      </c>
      <c r="DF19" s="395">
        <v>3632.7840000000006</v>
      </c>
      <c r="DG19" s="395">
        <v>3454.0320000000002</v>
      </c>
      <c r="DH19" s="395">
        <v>3864.6179999999995</v>
      </c>
      <c r="DI19" s="395">
        <v>3659.3759999999997</v>
      </c>
      <c r="DJ19" s="395">
        <v>3650.2200000000003</v>
      </c>
      <c r="DK19" s="395">
        <v>3780.1379999999999</v>
      </c>
      <c r="DL19" s="395">
        <v>3722.1479999999997</v>
      </c>
      <c r="DM19" s="395">
        <v>3824.6099999999997</v>
      </c>
      <c r="DN19" s="395">
        <v>3764.0879999999997</v>
      </c>
      <c r="DO19" s="395">
        <v>3769.9560000000001</v>
      </c>
      <c r="DP19" s="395">
        <v>3912.6660000000002</v>
      </c>
      <c r="DQ19" s="395">
        <v>3680.8919999999998</v>
      </c>
      <c r="DR19" s="395">
        <v>3810.0959999999995</v>
      </c>
      <c r="DS19" s="395">
        <v>3696.2760000000003</v>
      </c>
      <c r="DT19" s="395">
        <v>4076.4839999999999</v>
      </c>
      <c r="DU19" s="395">
        <v>3934.2539999999999</v>
      </c>
      <c r="DV19" s="395">
        <v>4319.6880000000001</v>
      </c>
      <c r="DW19" s="395">
        <v>4272.1080000000002</v>
      </c>
      <c r="DX19" s="395">
        <v>4295.8860000000004</v>
      </c>
      <c r="DY19" s="395">
        <v>4481.9040000000005</v>
      </c>
      <c r="DZ19" s="395">
        <v>4270.8180000000002</v>
      </c>
      <c r="EA19" s="395">
        <v>4369.4580000000005</v>
      </c>
      <c r="EB19" s="395">
        <v>4529.1419999999998</v>
      </c>
      <c r="EC19" s="395">
        <v>4193.7240000000002</v>
      </c>
      <c r="ED19" s="395">
        <v>4367.7240000000002</v>
      </c>
      <c r="EE19" s="395">
        <v>4317.12</v>
      </c>
      <c r="EF19" s="395">
        <v>4486.0739999999996</v>
      </c>
      <c r="EG19" s="395">
        <v>4270.2840000000006</v>
      </c>
      <c r="EH19" s="395">
        <v>4475.0039999999999</v>
      </c>
      <c r="EI19" s="395">
        <v>4370.34</v>
      </c>
      <c r="EJ19" s="395">
        <v>4510.2659999999996</v>
      </c>
      <c r="EK19" s="395">
        <v>4561.8539999999994</v>
      </c>
      <c r="EL19" s="395">
        <v>4438.5720000000001</v>
      </c>
      <c r="EM19" s="395">
        <v>4457.4780000000001</v>
      </c>
      <c r="EN19" s="395">
        <v>4436.16</v>
      </c>
      <c r="EO19" s="395">
        <v>4099.8960000000006</v>
      </c>
      <c r="EP19" s="395">
        <v>4207.2300000000005</v>
      </c>
      <c r="EQ19" s="395">
        <v>4195.08</v>
      </c>
      <c r="ER19" s="395">
        <v>4249.884</v>
      </c>
      <c r="ES19" s="395">
        <v>4224.3900000000003</v>
      </c>
      <c r="ET19" s="395">
        <v>4305</v>
      </c>
      <c r="EU19" s="395">
        <v>4176.6419999999998</v>
      </c>
      <c r="EV19" s="395">
        <v>4140.6479999999992</v>
      </c>
      <c r="EW19" s="395">
        <v>4100.25</v>
      </c>
      <c r="EX19" s="395">
        <v>3957.21</v>
      </c>
      <c r="EY19" s="395">
        <v>4009.5299999999997</v>
      </c>
      <c r="EZ19" s="395">
        <v>3856.3679999999995</v>
      </c>
      <c r="FA19" s="395">
        <v>3669.0059999999999</v>
      </c>
      <c r="FB19" s="395">
        <v>3611.8019999999997</v>
      </c>
      <c r="FC19" s="395">
        <v>3420.3599999999997</v>
      </c>
      <c r="FD19" s="395">
        <v>3614.3159999999998</v>
      </c>
      <c r="FE19" s="395">
        <v>3381.2939999999999</v>
      </c>
      <c r="FF19" s="395">
        <v>3601.4880000000003</v>
      </c>
      <c r="FG19" s="395">
        <v>3329.1840000000002</v>
      </c>
      <c r="FH19" s="395">
        <v>3461.0640000000003</v>
      </c>
      <c r="FI19" s="395">
        <v>3361.4459999999999</v>
      </c>
      <c r="FJ19" s="395">
        <v>3251.1059999999998</v>
      </c>
      <c r="FK19" s="395">
        <v>3476.7479999999996</v>
      </c>
      <c r="FL19" s="395">
        <v>3228.93</v>
      </c>
      <c r="FM19" s="395">
        <v>3080.7479999999996</v>
      </c>
      <c r="FN19" s="395">
        <v>3191.6939999999995</v>
      </c>
      <c r="FO19" s="395">
        <v>3099.7139999999999</v>
      </c>
      <c r="FP19" s="395">
        <v>3285.3960000000002</v>
      </c>
      <c r="FQ19" s="395">
        <v>3146.25</v>
      </c>
      <c r="FR19" s="395">
        <v>3335.1660000000002</v>
      </c>
      <c r="FS19" s="395">
        <v>3273.8999999999996</v>
      </c>
      <c r="FT19" s="395">
        <v>3306.2460000000001</v>
      </c>
      <c r="FU19" s="395">
        <v>3079.4519999999998</v>
      </c>
      <c r="FV19" s="395">
        <v>2919.7259999999997</v>
      </c>
      <c r="FW19" s="395">
        <v>3059.172</v>
      </c>
      <c r="FX19" s="395">
        <v>2778.2219999999998</v>
      </c>
      <c r="FY19" s="395">
        <v>2672.808</v>
      </c>
      <c r="FZ19" s="395">
        <v>2622.558</v>
      </c>
      <c r="GA19" s="395">
        <v>2584.4160000000002</v>
      </c>
      <c r="GB19" s="395">
        <v>2631.7259999999997</v>
      </c>
      <c r="GC19" s="395">
        <v>2433.36</v>
      </c>
      <c r="GD19" s="395">
        <v>2619.7799999999997</v>
      </c>
      <c r="GE19" s="395">
        <v>2443.2719999999999</v>
      </c>
      <c r="GF19" s="395">
        <v>2360.9459999999999</v>
      </c>
      <c r="GG19" s="395">
        <v>2553.7860000000001</v>
      </c>
      <c r="GH19" s="395">
        <v>2408.4119999999998</v>
      </c>
      <c r="GI19" s="395">
        <v>2497.4160000000002</v>
      </c>
      <c r="GJ19" s="395">
        <v>2577.6120000000001</v>
      </c>
      <c r="GK19" s="395">
        <v>2465.2379999999998</v>
      </c>
      <c r="GL19" s="395">
        <v>2527.3440000000001</v>
      </c>
      <c r="GM19" s="395">
        <v>2381.634</v>
      </c>
      <c r="GN19" s="395">
        <v>2816.58</v>
      </c>
      <c r="GO19" s="395">
        <v>2450.91</v>
      </c>
      <c r="GP19" s="395">
        <v>2805.0299999999997</v>
      </c>
      <c r="GQ19" s="395">
        <v>2624.0039999999999</v>
      </c>
      <c r="GR19" s="395">
        <v>2555.1959999999999</v>
      </c>
      <c r="GS19" s="395">
        <v>2659.7579999999998</v>
      </c>
      <c r="GT19" s="395">
        <v>2421.0720000000001</v>
      </c>
      <c r="GU19" s="395">
        <v>2469.4319999999998</v>
      </c>
      <c r="GV19" s="395">
        <v>2378.4180000000001</v>
      </c>
      <c r="GW19" s="395">
        <v>2235.66</v>
      </c>
      <c r="GX19" s="395">
        <v>2344.1459999999997</v>
      </c>
      <c r="GY19" s="395">
        <v>2185.5720000000001</v>
      </c>
      <c r="GZ19" s="395">
        <v>2375.73</v>
      </c>
      <c r="HA19" s="395">
        <v>2245.7579999999998</v>
      </c>
      <c r="HB19" s="395">
        <v>2482.1459999999997</v>
      </c>
      <c r="HC19" s="395">
        <v>2263.02</v>
      </c>
      <c r="HD19" s="395">
        <v>2348.154</v>
      </c>
      <c r="HE19" s="395">
        <v>2407.518</v>
      </c>
      <c r="HF19" s="395">
        <v>2284.2960000000003</v>
      </c>
      <c r="HG19" s="395">
        <v>2517.3119999999999</v>
      </c>
      <c r="HH19" s="395">
        <v>2507.6579999999999</v>
      </c>
      <c r="HI19" s="395">
        <v>2441.6880000000001</v>
      </c>
      <c r="HJ19" s="395">
        <v>2626.02</v>
      </c>
      <c r="HK19" s="395">
        <v>2514.9659999999999</v>
      </c>
      <c r="HL19" s="395">
        <v>2737.7339999999999</v>
      </c>
      <c r="HM19" s="395">
        <v>2554.2780000000002</v>
      </c>
      <c r="HN19" s="395">
        <v>2743.8540000000003</v>
      </c>
      <c r="HO19" s="395">
        <v>2793.8160000000003</v>
      </c>
      <c r="HP19" s="395">
        <v>2987.694</v>
      </c>
      <c r="HQ19" s="395">
        <v>2950.2179999999998</v>
      </c>
      <c r="HR19" s="395">
        <v>2918.55</v>
      </c>
      <c r="HS19" s="395">
        <v>3150.9059999999999</v>
      </c>
      <c r="HT19" s="395">
        <v>3110.8679999999995</v>
      </c>
      <c r="HU19" s="395">
        <v>3041.9459999999999</v>
      </c>
      <c r="HV19" s="395">
        <v>3300.4979999999996</v>
      </c>
      <c r="HW19" s="395">
        <v>3341.0160000000001</v>
      </c>
      <c r="HX19" s="395">
        <v>3462.8820000000005</v>
      </c>
      <c r="HY19" s="395">
        <v>3239.37</v>
      </c>
      <c r="HZ19" s="395">
        <v>3373.4040000000005</v>
      </c>
      <c r="IA19" s="395">
        <v>3635.826</v>
      </c>
      <c r="IB19" s="395">
        <v>3487.6320000000005</v>
      </c>
      <c r="IC19" s="395">
        <v>3420.4560000000001</v>
      </c>
      <c r="ID19" s="395">
        <v>3280.0199999999995</v>
      </c>
      <c r="IE19" s="395">
        <v>3344.1120000000001</v>
      </c>
      <c r="IF19" s="395">
        <v>3288.9180000000001</v>
      </c>
      <c r="IG19" s="395">
        <v>3203.8019999999997</v>
      </c>
      <c r="IH19" s="395">
        <v>3178.1880000000001</v>
      </c>
      <c r="II19" s="395">
        <v>3070.3620000000001</v>
      </c>
      <c r="IJ19" s="395">
        <v>3455.7960000000003</v>
      </c>
      <c r="IK19" s="395">
        <v>3216.9480000000003</v>
      </c>
      <c r="IL19" s="395">
        <v>3388.59</v>
      </c>
      <c r="IM19" s="395">
        <v>3325.0260000000003</v>
      </c>
      <c r="IN19" s="15">
        <v>3543.9480000000003</v>
      </c>
      <c r="IO19" s="15">
        <v>3650.6460000000002</v>
      </c>
      <c r="IP19" s="15">
        <v>3540.4079999999999</v>
      </c>
      <c r="IQ19" s="15">
        <v>3568.0739999999996</v>
      </c>
      <c r="IR19" s="15">
        <v>3600.1859999999997</v>
      </c>
      <c r="IS19" s="15">
        <v>3481.56</v>
      </c>
      <c r="IT19" s="15">
        <v>3415.0439999999999</v>
      </c>
      <c r="IU19" s="15">
        <v>3386.5079999999998</v>
      </c>
      <c r="IV19" s="15">
        <v>3729.51</v>
      </c>
      <c r="IW19" s="15">
        <v>3513.2939999999999</v>
      </c>
      <c r="IX19" s="15">
        <v>3685.6239999999998</v>
      </c>
      <c r="IY19" s="15">
        <v>3773.56</v>
      </c>
      <c r="IZ19" s="15">
        <v>3962.22</v>
      </c>
      <c r="JA19" s="15">
        <v>4054.0740000000001</v>
      </c>
      <c r="JB19" s="15">
        <v>4245.0720000000001</v>
      </c>
      <c r="JC19" s="15">
        <v>4462.2839999999997</v>
      </c>
      <c r="JD19" s="15">
        <v>4040.7959999999998</v>
      </c>
      <c r="JE19" s="447">
        <v>3775.364</v>
      </c>
    </row>
    <row r="20" spans="1:265" x14ac:dyDescent="0.3">
      <c r="A20" s="394" t="s">
        <v>182</v>
      </c>
      <c r="B20" s="392">
        <v>400.14600000000002</v>
      </c>
      <c r="C20" s="392">
        <v>442.99199999999996</v>
      </c>
      <c r="D20" s="392">
        <v>475.536</v>
      </c>
      <c r="E20" s="392">
        <v>449.62199999999996</v>
      </c>
      <c r="F20" s="392">
        <v>459.74399999999997</v>
      </c>
      <c r="G20" s="392">
        <v>448.86</v>
      </c>
      <c r="H20" s="392">
        <v>422.41800000000001</v>
      </c>
      <c r="I20" s="392">
        <v>414.47399999999993</v>
      </c>
      <c r="J20" s="392">
        <v>422.05200000000002</v>
      </c>
      <c r="K20" s="392">
        <v>469.34400000000005</v>
      </c>
      <c r="L20" s="392">
        <v>469.02600000000007</v>
      </c>
      <c r="M20" s="392">
        <v>423.75</v>
      </c>
      <c r="N20" s="392">
        <v>380.20800000000003</v>
      </c>
      <c r="O20" s="392">
        <v>394.89</v>
      </c>
      <c r="P20" s="392">
        <v>426.97799999999995</v>
      </c>
      <c r="Q20" s="392">
        <v>401.55600000000004</v>
      </c>
      <c r="R20" s="392">
        <v>459.73199999999997</v>
      </c>
      <c r="S20" s="392">
        <v>385.596</v>
      </c>
      <c r="T20" s="392">
        <v>404.18999999999994</v>
      </c>
      <c r="U20" s="392">
        <v>414.47399999999993</v>
      </c>
      <c r="V20" s="392">
        <v>408.21</v>
      </c>
      <c r="W20" s="392">
        <v>440.36400000000003</v>
      </c>
      <c r="X20" s="392">
        <v>412.43400000000003</v>
      </c>
      <c r="Y20" s="392">
        <v>389.50200000000001</v>
      </c>
      <c r="Z20" s="392">
        <v>393.88799999999998</v>
      </c>
      <c r="AA20" s="392">
        <v>394.48199999999997</v>
      </c>
      <c r="AB20" s="392">
        <v>427.18799999999999</v>
      </c>
      <c r="AC20" s="392">
        <v>384.58799999999997</v>
      </c>
      <c r="AD20" s="392">
        <v>432.58799999999997</v>
      </c>
      <c r="AE20" s="392">
        <v>405.88799999999998</v>
      </c>
      <c r="AF20" s="392">
        <v>407.29200000000003</v>
      </c>
      <c r="AG20" s="392">
        <v>424.99199999999996</v>
      </c>
      <c r="AH20" s="392">
        <v>408.024</v>
      </c>
      <c r="AI20" s="392">
        <v>424.99199999999996</v>
      </c>
      <c r="AJ20" s="392">
        <v>405.01199999999994</v>
      </c>
      <c r="AK20" s="392">
        <v>398.43</v>
      </c>
      <c r="AL20" s="392">
        <v>428.84999999999997</v>
      </c>
      <c r="AM20" s="392">
        <v>405.55799999999999</v>
      </c>
      <c r="AN20" s="392">
        <v>419.81399999999996</v>
      </c>
      <c r="AO20" s="392">
        <v>389.23800000000006</v>
      </c>
      <c r="AP20" s="392">
        <v>399.05399999999997</v>
      </c>
      <c r="AQ20" s="392">
        <v>388.29</v>
      </c>
      <c r="AR20" s="392">
        <v>390.89400000000001</v>
      </c>
      <c r="AS20" s="392">
        <v>402.24</v>
      </c>
      <c r="AT20" s="392">
        <v>401.74799999999999</v>
      </c>
      <c r="AU20" s="392">
        <v>376.38600000000002</v>
      </c>
      <c r="AV20" s="392">
        <v>411.52799999999996</v>
      </c>
      <c r="AW20" s="392">
        <v>428.23800000000006</v>
      </c>
      <c r="AX20" s="392">
        <v>375.75</v>
      </c>
      <c r="AY20" s="392">
        <v>391.38</v>
      </c>
      <c r="AZ20" s="392">
        <v>415.572</v>
      </c>
      <c r="BA20" s="392">
        <v>375.24</v>
      </c>
      <c r="BB20" s="392">
        <v>403.68</v>
      </c>
      <c r="BC20" s="392">
        <v>401.37599999999998</v>
      </c>
      <c r="BD20" s="392">
        <v>408.072</v>
      </c>
      <c r="BE20" s="392">
        <v>425.90999999999997</v>
      </c>
      <c r="BF20" s="392">
        <v>401.904</v>
      </c>
      <c r="BG20" s="392">
        <v>432.786</v>
      </c>
      <c r="BH20" s="392">
        <v>452.25600000000003</v>
      </c>
      <c r="BI20" s="392">
        <v>435.67199999999997</v>
      </c>
      <c r="BJ20" s="392">
        <v>422.18999999999994</v>
      </c>
      <c r="BK20" s="392">
        <v>427.81799999999998</v>
      </c>
      <c r="BL20" s="392">
        <v>453.73199999999997</v>
      </c>
      <c r="BM20" s="392">
        <v>394.33199999999999</v>
      </c>
      <c r="BN20" s="392">
        <v>471.26400000000001</v>
      </c>
      <c r="BO20" s="392">
        <v>467.964</v>
      </c>
      <c r="BP20" s="392">
        <v>465.62400000000002</v>
      </c>
      <c r="BQ20" s="392">
        <v>484.84199999999998</v>
      </c>
      <c r="BR20" s="392">
        <v>462.34800000000007</v>
      </c>
      <c r="BS20" s="392">
        <v>467.77200000000005</v>
      </c>
      <c r="BT20" s="392">
        <v>483.43799999999999</v>
      </c>
      <c r="BU20" s="392">
        <v>452.81399999999996</v>
      </c>
      <c r="BV20" s="392">
        <v>461.51400000000001</v>
      </c>
      <c r="BW20" s="392">
        <v>459.85199999999998</v>
      </c>
      <c r="BX20" s="392">
        <v>485.142</v>
      </c>
      <c r="BY20" s="392">
        <v>439.84199999999998</v>
      </c>
      <c r="BZ20" s="392">
        <v>471.858</v>
      </c>
      <c r="CA20" s="392">
        <v>460.25400000000002</v>
      </c>
      <c r="CB20" s="392">
        <v>451.41600000000005</v>
      </c>
      <c r="CC20" s="392">
        <v>463.43400000000003</v>
      </c>
      <c r="CD20" s="392">
        <v>434.38200000000006</v>
      </c>
      <c r="CE20" s="392">
        <v>489.01800000000003</v>
      </c>
      <c r="CF20" s="392">
        <v>485.43600000000004</v>
      </c>
      <c r="CG20" s="392">
        <v>439.71</v>
      </c>
      <c r="CH20" s="392">
        <v>450.99599999999998</v>
      </c>
      <c r="CI20" s="392">
        <v>454.65599999999995</v>
      </c>
      <c r="CJ20" s="392">
        <v>439.57800000000003</v>
      </c>
      <c r="CK20" s="392">
        <v>429.48599999999999</v>
      </c>
      <c r="CL20" s="392">
        <v>453.85199999999998</v>
      </c>
      <c r="CM20" s="392">
        <v>446.13</v>
      </c>
      <c r="CN20" s="392">
        <v>482.03399999999999</v>
      </c>
      <c r="CO20" s="392">
        <v>484.11</v>
      </c>
      <c r="CP20" s="392">
        <v>480.32400000000001</v>
      </c>
      <c r="CQ20" s="392">
        <v>485.43</v>
      </c>
      <c r="CR20" s="392">
        <v>491.952</v>
      </c>
      <c r="CS20" s="392">
        <v>482.47799999999995</v>
      </c>
      <c r="CT20" s="392">
        <v>472.06200000000001</v>
      </c>
      <c r="CU20" s="392">
        <v>475.24799999999999</v>
      </c>
      <c r="CV20" s="392">
        <v>513.97199999999998</v>
      </c>
      <c r="CW20" s="392">
        <v>474.57</v>
      </c>
      <c r="CX20" s="392">
        <v>498.27600000000007</v>
      </c>
      <c r="CY20" s="392">
        <v>489.36</v>
      </c>
      <c r="CZ20" s="392">
        <v>505.73400000000004</v>
      </c>
      <c r="DA20" s="392">
        <v>502.51800000000003</v>
      </c>
      <c r="DB20" s="392">
        <v>506.14800000000002</v>
      </c>
      <c r="DC20" s="392">
        <v>501.99</v>
      </c>
      <c r="DD20" s="392">
        <v>518.67599999999993</v>
      </c>
      <c r="DE20" s="392">
        <v>510.654</v>
      </c>
      <c r="DF20" s="392">
        <v>474.52200000000005</v>
      </c>
      <c r="DG20" s="392">
        <v>476.29200000000003</v>
      </c>
      <c r="DH20" s="392">
        <v>469.96800000000002</v>
      </c>
      <c r="DI20" s="392">
        <v>472.24799999999999</v>
      </c>
      <c r="DJ20" s="392">
        <v>498.14400000000001</v>
      </c>
      <c r="DK20" s="392">
        <v>499.536</v>
      </c>
      <c r="DL20" s="392">
        <v>489.96</v>
      </c>
      <c r="DM20" s="392">
        <v>507.25800000000004</v>
      </c>
      <c r="DN20" s="392">
        <v>519.46800000000007</v>
      </c>
      <c r="DO20" s="392">
        <v>489.91200000000003</v>
      </c>
      <c r="DP20" s="392">
        <v>508.59000000000003</v>
      </c>
      <c r="DQ20" s="392">
        <v>492.32400000000001</v>
      </c>
      <c r="DR20" s="392">
        <v>473.10599999999999</v>
      </c>
      <c r="DS20" s="392">
        <v>468.75600000000003</v>
      </c>
      <c r="DT20" s="392">
        <v>514.13400000000001</v>
      </c>
      <c r="DU20" s="392">
        <v>490.71</v>
      </c>
      <c r="DV20" s="392">
        <v>539.48400000000004</v>
      </c>
      <c r="DW20" s="392">
        <v>533.18399999999997</v>
      </c>
      <c r="DX20" s="392">
        <v>542.04</v>
      </c>
      <c r="DY20" s="392">
        <v>570.47399999999993</v>
      </c>
      <c r="DZ20" s="392">
        <v>537.53399999999999</v>
      </c>
      <c r="EA20" s="392">
        <v>529.45799999999997</v>
      </c>
      <c r="EB20" s="392">
        <v>553.48199999999997</v>
      </c>
      <c r="EC20" s="392">
        <v>523.11</v>
      </c>
      <c r="ED20" s="392">
        <v>561.78600000000006</v>
      </c>
      <c r="EE20" s="392">
        <v>566.41200000000003</v>
      </c>
      <c r="EF20" s="392">
        <v>590.44200000000001</v>
      </c>
      <c r="EG20" s="392">
        <v>577.56000000000006</v>
      </c>
      <c r="EH20" s="392">
        <v>636.35400000000004</v>
      </c>
      <c r="EI20" s="392">
        <v>607.32600000000002</v>
      </c>
      <c r="EJ20" s="392">
        <v>615.85799999999995</v>
      </c>
      <c r="EK20" s="392">
        <v>585.41999999999996</v>
      </c>
      <c r="EL20" s="392">
        <v>548.36400000000003</v>
      </c>
      <c r="EM20" s="392">
        <v>536.65800000000002</v>
      </c>
      <c r="EN20" s="392">
        <v>580.75800000000004</v>
      </c>
      <c r="EO20" s="392">
        <v>555.95400000000006</v>
      </c>
      <c r="EP20" s="392">
        <v>573.28800000000001</v>
      </c>
      <c r="EQ20" s="392">
        <v>547.17599999999993</v>
      </c>
      <c r="ER20" s="392">
        <v>576.12</v>
      </c>
      <c r="ES20" s="392">
        <v>574.00800000000004</v>
      </c>
      <c r="ET20" s="392">
        <v>538.34400000000005</v>
      </c>
      <c r="EU20" s="392">
        <v>569.97</v>
      </c>
      <c r="EV20" s="392">
        <v>593.94600000000003</v>
      </c>
      <c r="EW20" s="392">
        <v>593.71800000000007</v>
      </c>
      <c r="EX20" s="392">
        <v>550.78199999999993</v>
      </c>
      <c r="EY20" s="392">
        <v>591.01199999999994</v>
      </c>
      <c r="EZ20" s="392">
        <v>613.30799999999999</v>
      </c>
      <c r="FA20" s="392">
        <v>589.14</v>
      </c>
      <c r="FB20" s="392">
        <v>559.16999999999996</v>
      </c>
      <c r="FC20" s="392">
        <v>556.452</v>
      </c>
      <c r="FD20" s="392">
        <v>575.50199999999995</v>
      </c>
      <c r="FE20" s="392">
        <v>572.44799999999998</v>
      </c>
      <c r="FF20" s="392">
        <v>596.202</v>
      </c>
      <c r="FG20" s="392">
        <v>570.45000000000005</v>
      </c>
      <c r="FH20" s="392">
        <v>553.90800000000002</v>
      </c>
      <c r="FI20" s="392">
        <v>538.24199999999996</v>
      </c>
      <c r="FJ20" s="392">
        <v>538.39800000000002</v>
      </c>
      <c r="FK20" s="392">
        <v>568.94399999999996</v>
      </c>
      <c r="FL20" s="392">
        <v>564.66600000000005</v>
      </c>
      <c r="FM20" s="392">
        <v>544.38</v>
      </c>
      <c r="FN20" s="392">
        <v>505.85399999999998</v>
      </c>
      <c r="FO20" s="392">
        <v>492.89400000000001</v>
      </c>
      <c r="FP20" s="392">
        <v>503.02200000000005</v>
      </c>
      <c r="FQ20" s="392">
        <v>485.298</v>
      </c>
      <c r="FR20" s="392">
        <v>500.69399999999996</v>
      </c>
      <c r="FS20" s="392">
        <v>498.57</v>
      </c>
      <c r="FT20" s="392">
        <v>469.19399999999996</v>
      </c>
      <c r="FU20" s="392">
        <v>484.43999999999994</v>
      </c>
      <c r="FV20" s="392">
        <v>476.86799999999994</v>
      </c>
      <c r="FW20" s="392">
        <v>473.47799999999995</v>
      </c>
      <c r="FX20" s="392">
        <v>485.44200000000001</v>
      </c>
      <c r="FY20" s="392">
        <v>448.47</v>
      </c>
      <c r="FZ20" s="392">
        <v>425.62800000000004</v>
      </c>
      <c r="GA20" s="392">
        <v>447</v>
      </c>
      <c r="GB20" s="392">
        <v>452.54999999999995</v>
      </c>
      <c r="GC20" s="392">
        <v>411.28800000000001</v>
      </c>
      <c r="GD20" s="392">
        <v>428.76</v>
      </c>
      <c r="GE20" s="392">
        <v>426.79200000000003</v>
      </c>
      <c r="GF20" s="392">
        <v>405.45000000000005</v>
      </c>
      <c r="GG20" s="392">
        <v>422.69399999999996</v>
      </c>
      <c r="GH20" s="392">
        <v>422.76599999999996</v>
      </c>
      <c r="GI20" s="392">
        <v>413.26199999999994</v>
      </c>
      <c r="GJ20" s="392">
        <v>437.83199999999999</v>
      </c>
      <c r="GK20" s="392">
        <v>331.30799999999999</v>
      </c>
      <c r="GL20" s="392">
        <v>329.76599999999996</v>
      </c>
      <c r="GM20" s="392">
        <v>309.03000000000003</v>
      </c>
      <c r="GN20" s="392">
        <v>339.69</v>
      </c>
      <c r="GO20" s="392">
        <v>317.61599999999999</v>
      </c>
      <c r="GP20" s="392">
        <v>354.10200000000003</v>
      </c>
      <c r="GQ20" s="392">
        <v>324.702</v>
      </c>
      <c r="GR20" s="392">
        <v>337.06799999999998</v>
      </c>
      <c r="GS20" s="392">
        <v>351.04199999999997</v>
      </c>
      <c r="GT20" s="392">
        <v>321.59399999999999</v>
      </c>
      <c r="GU20" s="392">
        <v>355.24799999999999</v>
      </c>
      <c r="GV20" s="392">
        <v>344.358</v>
      </c>
      <c r="GW20" s="392">
        <v>301.87800000000004</v>
      </c>
      <c r="GX20" s="392">
        <v>329.62199999999996</v>
      </c>
      <c r="GY20" s="392">
        <v>318.42599999999999</v>
      </c>
      <c r="GZ20" s="392">
        <v>351.16800000000001</v>
      </c>
      <c r="HA20" s="392">
        <v>324.50400000000002</v>
      </c>
      <c r="HB20" s="392">
        <v>349.55399999999997</v>
      </c>
      <c r="HC20" s="392">
        <v>348.92400000000004</v>
      </c>
      <c r="HD20" s="392">
        <v>402.59400000000005</v>
      </c>
      <c r="HE20" s="392">
        <v>394.26599999999996</v>
      </c>
      <c r="HF20" s="392">
        <v>341.90999999999997</v>
      </c>
      <c r="HG20" s="392">
        <v>413.77200000000005</v>
      </c>
      <c r="HH20" s="392">
        <v>397.21800000000002</v>
      </c>
      <c r="HI20" s="392">
        <v>383.49</v>
      </c>
      <c r="HJ20" s="392">
        <v>381.49799999999999</v>
      </c>
      <c r="HK20" s="392">
        <v>331.48199999999997</v>
      </c>
      <c r="HL20" s="392">
        <v>385.33199999999999</v>
      </c>
      <c r="HM20" s="392">
        <v>363.012</v>
      </c>
      <c r="HN20" s="392">
        <v>446.33399999999995</v>
      </c>
      <c r="HO20" s="392">
        <v>426.798</v>
      </c>
      <c r="HP20" s="444">
        <v>410.42399999999998</v>
      </c>
      <c r="HQ20" s="444">
        <v>390.97200000000004</v>
      </c>
      <c r="HR20" s="444">
        <v>453.16200000000003</v>
      </c>
      <c r="HS20" s="444">
        <v>442.92599999999999</v>
      </c>
      <c r="HT20" s="444">
        <v>429.61799999999994</v>
      </c>
      <c r="HU20" s="444">
        <v>396.39600000000002</v>
      </c>
      <c r="HV20" s="392">
        <v>418.32600000000002</v>
      </c>
      <c r="HW20" s="392">
        <v>413.14800000000002</v>
      </c>
      <c r="HX20" s="392">
        <v>441.99599999999998</v>
      </c>
      <c r="HY20" s="392">
        <v>410.60399999999998</v>
      </c>
      <c r="HZ20" s="392">
        <v>422.76</v>
      </c>
      <c r="IA20" s="392">
        <v>428.19600000000003</v>
      </c>
      <c r="IB20" s="392">
        <v>398.928</v>
      </c>
      <c r="IC20" s="392">
        <v>413.52</v>
      </c>
      <c r="ID20" s="392">
        <v>408.59400000000005</v>
      </c>
      <c r="IE20" s="392">
        <v>459.81000000000006</v>
      </c>
      <c r="IF20" s="392">
        <v>417.51</v>
      </c>
      <c r="IG20" s="392">
        <v>379.74</v>
      </c>
      <c r="IH20" s="392">
        <v>357.57599999999996</v>
      </c>
      <c r="II20" s="392">
        <v>437.04599999999994</v>
      </c>
      <c r="IJ20" s="392">
        <v>412.38599999999997</v>
      </c>
      <c r="IK20" s="392">
        <v>406.29599999999994</v>
      </c>
      <c r="IL20" s="392">
        <v>468.39600000000002</v>
      </c>
      <c r="IM20" s="392">
        <v>412.37400000000002</v>
      </c>
      <c r="IN20" s="444">
        <v>436.08000000000004</v>
      </c>
      <c r="IO20" s="444">
        <v>436.68</v>
      </c>
      <c r="IP20" s="444">
        <v>432.68999999999994</v>
      </c>
      <c r="IQ20" s="444">
        <v>448.55399999999997</v>
      </c>
      <c r="IR20" s="444">
        <v>486.22200000000004</v>
      </c>
      <c r="IS20" s="444">
        <v>418.93799999999999</v>
      </c>
      <c r="IT20" s="444">
        <v>434.01</v>
      </c>
      <c r="IU20" s="444">
        <v>449.45400000000006</v>
      </c>
      <c r="IV20" s="444">
        <v>543.41999999999996</v>
      </c>
      <c r="IW20" s="445">
        <v>504.16399999999999</v>
      </c>
      <c r="IX20" s="445">
        <v>440.88799999999998</v>
      </c>
      <c r="IY20" s="445">
        <v>437.298</v>
      </c>
      <c r="IZ20" s="445">
        <v>434.13</v>
      </c>
      <c r="JA20" s="445">
        <v>421.00200000000001</v>
      </c>
      <c r="JB20" s="445">
        <v>440.59199999999998</v>
      </c>
      <c r="JC20" s="445">
        <v>453.06200000000001</v>
      </c>
      <c r="JD20" s="445">
        <v>450.86799999999999</v>
      </c>
      <c r="JE20" s="446">
        <v>445.17599999999999</v>
      </c>
    </row>
    <row r="21" spans="1:265" x14ac:dyDescent="0.3">
      <c r="A21" s="394" t="s">
        <v>93</v>
      </c>
      <c r="B21" s="395">
        <v>912.42599999999993</v>
      </c>
      <c r="C21" s="395">
        <v>931.44</v>
      </c>
      <c r="D21" s="395">
        <v>991.24199999999996</v>
      </c>
      <c r="E21" s="395">
        <v>937.03199999999993</v>
      </c>
      <c r="F21" s="395">
        <v>1005.75</v>
      </c>
      <c r="G21" s="395">
        <v>969.71399999999994</v>
      </c>
      <c r="H21" s="395">
        <v>1004.922</v>
      </c>
      <c r="I21" s="395">
        <v>1040.874</v>
      </c>
      <c r="J21" s="395">
        <v>1003.278</v>
      </c>
      <c r="K21" s="395">
        <v>1035.7260000000001</v>
      </c>
      <c r="L21" s="395">
        <v>994.58400000000006</v>
      </c>
      <c r="M21" s="395">
        <v>879.33600000000001</v>
      </c>
      <c r="N21" s="395">
        <v>899.346</v>
      </c>
      <c r="O21" s="395">
        <v>856.26600000000008</v>
      </c>
      <c r="P21" s="395">
        <v>950.37599999999998</v>
      </c>
      <c r="Q21" s="395">
        <v>944.85599999999999</v>
      </c>
      <c r="R21" s="395">
        <v>879.68399999999997</v>
      </c>
      <c r="S21" s="395">
        <v>917.88599999999997</v>
      </c>
      <c r="T21" s="395">
        <v>1071.4080000000001</v>
      </c>
      <c r="U21" s="395">
        <v>1017.7560000000001</v>
      </c>
      <c r="V21" s="395">
        <v>984.06600000000003</v>
      </c>
      <c r="W21" s="395">
        <v>1048.788</v>
      </c>
      <c r="X21" s="395">
        <v>1061.9760000000001</v>
      </c>
      <c r="Y21" s="395">
        <v>894.68399999999997</v>
      </c>
      <c r="Z21" s="395">
        <v>844.86599999999999</v>
      </c>
      <c r="AA21" s="395">
        <v>869.94600000000014</v>
      </c>
      <c r="AB21" s="395">
        <v>981.072</v>
      </c>
      <c r="AC21" s="395">
        <v>924.81600000000003</v>
      </c>
      <c r="AD21" s="395">
        <v>911.87400000000002</v>
      </c>
      <c r="AE21" s="395">
        <v>910.12799999999993</v>
      </c>
      <c r="AF21" s="395">
        <v>1001.49</v>
      </c>
      <c r="AG21" s="395">
        <v>910.03800000000001</v>
      </c>
      <c r="AH21" s="395">
        <v>924.36</v>
      </c>
      <c r="AI21" s="395">
        <v>992.904</v>
      </c>
      <c r="AJ21" s="395">
        <v>936.70799999999997</v>
      </c>
      <c r="AK21" s="395">
        <v>933.62999999999988</v>
      </c>
      <c r="AL21" s="395">
        <v>841.94999999999993</v>
      </c>
      <c r="AM21" s="395">
        <v>939.59399999999994</v>
      </c>
      <c r="AN21" s="395">
        <v>1017.384</v>
      </c>
      <c r="AO21" s="395">
        <v>949.54200000000003</v>
      </c>
      <c r="AP21" s="395">
        <v>986.37599999999998</v>
      </c>
      <c r="AQ21" s="395">
        <v>1076.19</v>
      </c>
      <c r="AR21" s="395">
        <v>1001.934</v>
      </c>
      <c r="AS21" s="395">
        <v>1032.768</v>
      </c>
      <c r="AT21" s="395">
        <v>1038.528</v>
      </c>
      <c r="AU21" s="395">
        <v>1063.3499999999999</v>
      </c>
      <c r="AV21" s="395">
        <v>1058.8139999999999</v>
      </c>
      <c r="AW21" s="395">
        <v>1014.798</v>
      </c>
      <c r="AX21" s="395">
        <v>948.66599999999994</v>
      </c>
      <c r="AY21" s="395">
        <v>1010.9820000000001</v>
      </c>
      <c r="AZ21" s="395">
        <v>1059.7439999999999</v>
      </c>
      <c r="BA21" s="395">
        <v>1050.816</v>
      </c>
      <c r="BB21" s="395">
        <v>1080.7439999999999</v>
      </c>
      <c r="BC21" s="395">
        <v>1049.0340000000001</v>
      </c>
      <c r="BD21" s="395">
        <v>1062.48</v>
      </c>
      <c r="BE21" s="395">
        <v>1156.404</v>
      </c>
      <c r="BF21" s="395">
        <v>1152.174</v>
      </c>
      <c r="BG21" s="395">
        <v>1332.942</v>
      </c>
      <c r="BH21" s="395">
        <v>1225.482</v>
      </c>
      <c r="BI21" s="395">
        <v>1116.51</v>
      </c>
      <c r="BJ21" s="395">
        <v>1087.152</v>
      </c>
      <c r="BK21" s="395">
        <v>1043.6880000000001</v>
      </c>
      <c r="BL21" s="395">
        <v>1165.596</v>
      </c>
      <c r="BM21" s="395">
        <v>1183.848</v>
      </c>
      <c r="BN21" s="395">
        <v>1173.144</v>
      </c>
      <c r="BO21" s="395">
        <v>1178.1299999999999</v>
      </c>
      <c r="BP21" s="395">
        <v>1117.92</v>
      </c>
      <c r="BQ21" s="395">
        <v>1229.2139999999999</v>
      </c>
      <c r="BR21" s="395">
        <v>1107.846</v>
      </c>
      <c r="BS21" s="395">
        <v>1145.328</v>
      </c>
      <c r="BT21" s="395">
        <v>1124.0639999999999</v>
      </c>
      <c r="BU21" s="395">
        <v>1069.7460000000001</v>
      </c>
      <c r="BV21" s="395">
        <v>1121.808</v>
      </c>
      <c r="BW21" s="395">
        <v>1107.7439999999999</v>
      </c>
      <c r="BX21" s="395">
        <v>1141.296</v>
      </c>
      <c r="BY21" s="395">
        <v>1137.306</v>
      </c>
      <c r="BZ21" s="395">
        <v>1197.3419999999999</v>
      </c>
      <c r="CA21" s="395">
        <v>1106.598</v>
      </c>
      <c r="CB21" s="395">
        <v>1168.5360000000001</v>
      </c>
      <c r="CC21" s="395">
        <v>1279.6079999999999</v>
      </c>
      <c r="CD21" s="395">
        <v>1119.5999999999999</v>
      </c>
      <c r="CE21" s="395">
        <v>1204.1100000000001</v>
      </c>
      <c r="CF21" s="395">
        <v>1168.4279999999999</v>
      </c>
      <c r="CG21" s="395">
        <v>1143.3119999999999</v>
      </c>
      <c r="CH21" s="395">
        <v>1194.846</v>
      </c>
      <c r="CI21" s="395">
        <v>1185.3779999999999</v>
      </c>
      <c r="CJ21" s="395">
        <v>1182.6120000000001</v>
      </c>
      <c r="CK21" s="395">
        <v>1274.0820000000001</v>
      </c>
      <c r="CL21" s="395">
        <v>1303.086</v>
      </c>
      <c r="CM21" s="395">
        <v>1240.6019999999999</v>
      </c>
      <c r="CN21" s="395">
        <v>1453.2539999999999</v>
      </c>
      <c r="CO21" s="395">
        <v>1491.0060000000001</v>
      </c>
      <c r="CP21" s="395">
        <v>1368.42</v>
      </c>
      <c r="CQ21" s="395">
        <v>1381.3380000000002</v>
      </c>
      <c r="CR21" s="395">
        <v>1328.0219999999999</v>
      </c>
      <c r="CS21" s="395">
        <v>1265.028</v>
      </c>
      <c r="CT21" s="395">
        <v>1058.568</v>
      </c>
      <c r="CU21" s="395">
        <v>1133.7059999999999</v>
      </c>
      <c r="CV21" s="395">
        <v>1285.1220000000001</v>
      </c>
      <c r="CW21" s="395">
        <v>1194.402</v>
      </c>
      <c r="CX21" s="395">
        <v>1228.5239999999999</v>
      </c>
      <c r="CY21" s="395">
        <v>1240.0440000000001</v>
      </c>
      <c r="CZ21" s="395">
        <v>1348.6679999999999</v>
      </c>
      <c r="DA21" s="395">
        <v>1318.452</v>
      </c>
      <c r="DB21" s="395">
        <v>1255.29</v>
      </c>
      <c r="DC21" s="395">
        <v>1300.614</v>
      </c>
      <c r="DD21" s="395">
        <v>1271.4479999999999</v>
      </c>
      <c r="DE21" s="395">
        <v>1321.278</v>
      </c>
      <c r="DF21" s="395">
        <v>1219.4639999999999</v>
      </c>
      <c r="DG21" s="395">
        <v>1209.0419999999999</v>
      </c>
      <c r="DH21" s="395">
        <v>1312.98</v>
      </c>
      <c r="DI21" s="395">
        <v>1241.4479999999999</v>
      </c>
      <c r="DJ21" s="395">
        <v>1308.624</v>
      </c>
      <c r="DK21" s="395">
        <v>1343.1659999999999</v>
      </c>
      <c r="DL21" s="395">
        <v>1299.3240000000001</v>
      </c>
      <c r="DM21" s="395">
        <v>1475.82</v>
      </c>
      <c r="DN21" s="395">
        <v>1363.242</v>
      </c>
      <c r="DO21" s="395">
        <v>1393.7940000000001</v>
      </c>
      <c r="DP21" s="395">
        <v>1387.0259999999998</v>
      </c>
      <c r="DQ21" s="395">
        <v>1439.376</v>
      </c>
      <c r="DR21" s="395">
        <v>1390.6379999999999</v>
      </c>
      <c r="DS21" s="395">
        <v>1351.3139999999999</v>
      </c>
      <c r="DT21" s="395">
        <v>1536</v>
      </c>
      <c r="DU21" s="395">
        <v>1397.232</v>
      </c>
      <c r="DV21" s="395">
        <v>1504.212</v>
      </c>
      <c r="DW21" s="395">
        <v>1558.6079999999997</v>
      </c>
      <c r="DX21" s="395">
        <v>1577.13</v>
      </c>
      <c r="DY21" s="395">
        <v>1708.0859999999998</v>
      </c>
      <c r="DZ21" s="395">
        <v>1626.12</v>
      </c>
      <c r="EA21" s="395">
        <v>1668.3720000000001</v>
      </c>
      <c r="EB21" s="395">
        <v>1670.4960000000001</v>
      </c>
      <c r="EC21" s="395">
        <v>1620.8579999999997</v>
      </c>
      <c r="ED21" s="395">
        <v>1641.5219999999999</v>
      </c>
      <c r="EE21" s="395">
        <v>1648.3139999999999</v>
      </c>
      <c r="EF21" s="395">
        <v>1834.2060000000001</v>
      </c>
      <c r="EG21" s="395">
        <v>1685.7360000000001</v>
      </c>
      <c r="EH21" s="395">
        <v>1878.018</v>
      </c>
      <c r="EI21" s="395">
        <v>1737.5160000000001</v>
      </c>
      <c r="EJ21" s="395">
        <v>1804.5660000000003</v>
      </c>
      <c r="EK21" s="395">
        <v>1840.884</v>
      </c>
      <c r="EL21" s="395">
        <v>1792.77</v>
      </c>
      <c r="EM21" s="395">
        <v>1904.796</v>
      </c>
      <c r="EN21" s="395">
        <v>1681.47</v>
      </c>
      <c r="EO21" s="395">
        <v>1553.7840000000001</v>
      </c>
      <c r="EP21" s="395">
        <v>1643.25</v>
      </c>
      <c r="EQ21" s="395">
        <v>1549.23</v>
      </c>
      <c r="ER21" s="395">
        <v>1669.038</v>
      </c>
      <c r="ES21" s="395">
        <v>1638.174</v>
      </c>
      <c r="ET21" s="395">
        <v>1841.94</v>
      </c>
      <c r="EU21" s="395">
        <v>1675.422</v>
      </c>
      <c r="EV21" s="395">
        <v>1744.8420000000001</v>
      </c>
      <c r="EW21" s="395">
        <v>1733.2919999999999</v>
      </c>
      <c r="EX21" s="395">
        <v>1684.0320000000002</v>
      </c>
      <c r="EY21" s="395">
        <v>1819.0139999999999</v>
      </c>
      <c r="EZ21" s="395">
        <v>1696.992</v>
      </c>
      <c r="FA21" s="395">
        <v>1632.1019999999999</v>
      </c>
      <c r="FB21" s="395">
        <v>1633.5359999999998</v>
      </c>
      <c r="FC21" s="395">
        <v>1549.02</v>
      </c>
      <c r="FD21" s="395">
        <v>1505.502</v>
      </c>
      <c r="FE21" s="395">
        <v>1496.0160000000001</v>
      </c>
      <c r="FF21" s="395">
        <v>1514.6100000000001</v>
      </c>
      <c r="FG21" s="395">
        <v>1572.672</v>
      </c>
      <c r="FH21" s="395">
        <v>1583.136</v>
      </c>
      <c r="FI21" s="395">
        <v>1491.5340000000001</v>
      </c>
      <c r="FJ21" s="395">
        <v>1563.5039999999999</v>
      </c>
      <c r="FK21" s="395">
        <v>1561.83</v>
      </c>
      <c r="FL21" s="395">
        <v>1543.248</v>
      </c>
      <c r="FM21" s="395">
        <v>1399.2059999999999</v>
      </c>
      <c r="FN21" s="395">
        <v>1293.252</v>
      </c>
      <c r="FO21" s="395">
        <v>1379.346</v>
      </c>
      <c r="FP21" s="395">
        <v>1468.614</v>
      </c>
      <c r="FQ21" s="395">
        <v>1376.778</v>
      </c>
      <c r="FR21" s="395">
        <v>1417.8000000000002</v>
      </c>
      <c r="FS21" s="395">
        <v>1516.8899999999999</v>
      </c>
      <c r="FT21" s="395">
        <v>1382.316</v>
      </c>
      <c r="FU21" s="395">
        <v>1413.558</v>
      </c>
      <c r="FV21" s="395">
        <v>1389.5160000000001</v>
      </c>
      <c r="FW21" s="395">
        <v>1359.8519999999999</v>
      </c>
      <c r="FX21" s="395">
        <v>1509.5340000000001</v>
      </c>
      <c r="FY21" s="395">
        <v>1339.164</v>
      </c>
      <c r="FZ21" s="395">
        <v>1264.482</v>
      </c>
      <c r="GA21" s="395">
        <v>1178.8320000000001</v>
      </c>
      <c r="GB21" s="395">
        <v>1134.18</v>
      </c>
      <c r="GC21" s="395">
        <v>1020.186</v>
      </c>
      <c r="GD21" s="395">
        <v>1146.066</v>
      </c>
      <c r="GE21" s="395">
        <v>1125.8579999999999</v>
      </c>
      <c r="GF21" s="395">
        <v>1052.058</v>
      </c>
      <c r="GG21" s="395">
        <v>1179.384</v>
      </c>
      <c r="GH21" s="395">
        <v>1026.828</v>
      </c>
      <c r="GI21" s="395">
        <v>1087.914</v>
      </c>
      <c r="GJ21" s="395">
        <v>1076.076</v>
      </c>
      <c r="GK21" s="395">
        <v>1000.068</v>
      </c>
      <c r="GL21" s="395">
        <v>1017.942</v>
      </c>
      <c r="GM21" s="395">
        <v>1061.07</v>
      </c>
      <c r="GN21" s="395">
        <v>1207.74</v>
      </c>
      <c r="GO21" s="395">
        <v>1133.442</v>
      </c>
      <c r="GP21" s="395">
        <v>1195.896</v>
      </c>
      <c r="GQ21" s="395">
        <v>1149.144</v>
      </c>
      <c r="GR21" s="395">
        <v>1169.9100000000001</v>
      </c>
      <c r="GS21" s="395">
        <v>1288.9499999999998</v>
      </c>
      <c r="GT21" s="395">
        <v>1230.0060000000001</v>
      </c>
      <c r="GU21" s="395">
        <v>1323.9179999999999</v>
      </c>
      <c r="GV21" s="395">
        <v>1336.6619999999998</v>
      </c>
      <c r="GW21" s="395">
        <v>1224.414</v>
      </c>
      <c r="GX21" s="395">
        <v>1261.0319999999999</v>
      </c>
      <c r="GY21" s="395">
        <v>1259.67</v>
      </c>
      <c r="GZ21" s="395">
        <v>1349.604</v>
      </c>
      <c r="HA21" s="395">
        <v>1366.308</v>
      </c>
      <c r="HB21" s="395">
        <v>1400.9159999999999</v>
      </c>
      <c r="HC21" s="395">
        <v>1328.316</v>
      </c>
      <c r="HD21" s="395">
        <v>1415.1299999999999</v>
      </c>
      <c r="HE21" s="395">
        <v>1479.4680000000001</v>
      </c>
      <c r="HF21" s="395">
        <v>1441.386</v>
      </c>
      <c r="HG21" s="395">
        <v>1465.356</v>
      </c>
      <c r="HH21" s="395">
        <v>1424.5500000000002</v>
      </c>
      <c r="HI21" s="395">
        <v>1362.9059999999999</v>
      </c>
      <c r="HJ21" s="395">
        <v>1365.5940000000001</v>
      </c>
      <c r="HK21" s="395">
        <v>1352.454</v>
      </c>
      <c r="HL21" s="395">
        <v>1512.5880000000002</v>
      </c>
      <c r="HM21" s="395">
        <v>1357.164</v>
      </c>
      <c r="HN21" s="395">
        <v>1482.768</v>
      </c>
      <c r="HO21" s="395">
        <v>1365.8700000000001</v>
      </c>
      <c r="HP21" s="395">
        <v>1556.5139999999999</v>
      </c>
      <c r="HQ21" s="395">
        <v>1402.998</v>
      </c>
      <c r="HR21" s="395">
        <v>1415.538</v>
      </c>
      <c r="HS21" s="395">
        <v>1462.77</v>
      </c>
      <c r="HT21" s="395">
        <v>1441.6019999999999</v>
      </c>
      <c r="HU21" s="395">
        <v>1358.568</v>
      </c>
      <c r="HV21" s="395">
        <v>1381.23</v>
      </c>
      <c r="HW21" s="395">
        <v>1384.0740000000001</v>
      </c>
      <c r="HX21" s="395">
        <v>1522.434</v>
      </c>
      <c r="HY21" s="395">
        <v>1410.06</v>
      </c>
      <c r="HZ21" s="395">
        <v>1468.77</v>
      </c>
      <c r="IA21" s="395">
        <v>1483.2840000000001</v>
      </c>
      <c r="IB21" s="395">
        <v>1525.17</v>
      </c>
      <c r="IC21" s="395">
        <v>1532.2439999999999</v>
      </c>
      <c r="ID21" s="395">
        <v>1486.452</v>
      </c>
      <c r="IE21" s="395">
        <v>1457.1659999999999</v>
      </c>
      <c r="IF21" s="395">
        <v>1415.712</v>
      </c>
      <c r="IG21" s="395">
        <v>1462.068</v>
      </c>
      <c r="IH21" s="395">
        <v>1417.9259999999999</v>
      </c>
      <c r="II21" s="395">
        <v>1381.962</v>
      </c>
      <c r="IJ21" s="395">
        <v>1566.5039999999999</v>
      </c>
      <c r="IK21" s="395">
        <v>1457.7719999999999</v>
      </c>
      <c r="IL21" s="395">
        <v>1575.5340000000001</v>
      </c>
      <c r="IM21" s="395">
        <v>1595.5859999999998</v>
      </c>
      <c r="IN21" s="15">
        <v>1649.6279999999999</v>
      </c>
      <c r="IO21" s="15">
        <v>1703.6879999999999</v>
      </c>
      <c r="IP21" s="15">
        <v>1610.7660000000001</v>
      </c>
      <c r="IQ21" s="15">
        <v>1629.3600000000001</v>
      </c>
      <c r="IR21" s="15">
        <v>1607.8139999999999</v>
      </c>
      <c r="IS21" s="15">
        <v>1577.4480000000001</v>
      </c>
      <c r="IT21" s="15">
        <v>1553.7719999999999</v>
      </c>
      <c r="IU21" s="15">
        <v>1595.568</v>
      </c>
      <c r="IV21" s="15">
        <v>1784.7539999999999</v>
      </c>
      <c r="IW21" s="15">
        <v>1360.5820000000001</v>
      </c>
      <c r="IX21" s="15">
        <v>1358.694</v>
      </c>
      <c r="IY21" s="15">
        <v>1446.1980000000001</v>
      </c>
      <c r="IZ21" s="15">
        <v>1430.848</v>
      </c>
      <c r="JA21" s="15">
        <v>1540.68</v>
      </c>
      <c r="JB21" s="15">
        <v>1735.4580000000001</v>
      </c>
      <c r="JC21" s="15">
        <v>1748.2260000000001</v>
      </c>
      <c r="JD21" s="15">
        <v>1834.634</v>
      </c>
      <c r="JE21" s="447">
        <v>1924.98</v>
      </c>
    </row>
    <row r="22" spans="1:265" ht="15" thickBot="1" x14ac:dyDescent="0.35">
      <c r="A22" s="448" t="s">
        <v>117</v>
      </c>
      <c r="B22" s="449">
        <v>22704.714</v>
      </c>
      <c r="C22" s="449">
        <v>22215.27</v>
      </c>
      <c r="D22" s="449">
        <v>24763.739999999998</v>
      </c>
      <c r="E22" s="449">
        <v>22552.841999999997</v>
      </c>
      <c r="F22" s="449">
        <v>24417.042000000001</v>
      </c>
      <c r="G22" s="449">
        <v>23466.317999999999</v>
      </c>
      <c r="H22" s="449">
        <v>24189.018</v>
      </c>
      <c r="I22" s="449">
        <v>24331.493999999999</v>
      </c>
      <c r="J22" s="449">
        <v>22538.658000000003</v>
      </c>
      <c r="K22" s="449">
        <v>23261.207999999999</v>
      </c>
      <c r="L22" s="449">
        <v>23079.18</v>
      </c>
      <c r="M22" s="449">
        <v>22652.171999999999</v>
      </c>
      <c r="N22" s="449">
        <v>22514.97</v>
      </c>
      <c r="O22" s="449">
        <v>20707.038</v>
      </c>
      <c r="P22" s="449">
        <v>22668.563999999998</v>
      </c>
      <c r="Q22" s="449">
        <v>22117.362000000001</v>
      </c>
      <c r="R22" s="449">
        <v>22406.778000000002</v>
      </c>
      <c r="S22" s="449">
        <v>22335.858</v>
      </c>
      <c r="T22" s="449">
        <v>23294.436000000002</v>
      </c>
      <c r="U22" s="449">
        <v>21935.286</v>
      </c>
      <c r="V22" s="449">
        <v>22335.078000000001</v>
      </c>
      <c r="W22" s="449">
        <v>22653.221999999998</v>
      </c>
      <c r="X22" s="449">
        <v>22019.412</v>
      </c>
      <c r="Y22" s="449">
        <v>22324.493999999999</v>
      </c>
      <c r="Z22" s="449">
        <v>21938.442000000003</v>
      </c>
      <c r="AA22" s="449">
        <v>21697.284</v>
      </c>
      <c r="AB22" s="449">
        <v>23081.423999999999</v>
      </c>
      <c r="AC22" s="449">
        <v>22428.144</v>
      </c>
      <c r="AD22" s="449">
        <v>23072.892</v>
      </c>
      <c r="AE22" s="449">
        <v>22950.786</v>
      </c>
      <c r="AF22" s="449">
        <v>24415.584000000003</v>
      </c>
      <c r="AG22" s="449">
        <v>23184.989999999998</v>
      </c>
      <c r="AH22" s="449">
        <v>23046.75</v>
      </c>
      <c r="AI22" s="449">
        <v>23523.360000000001</v>
      </c>
      <c r="AJ22" s="449">
        <v>22571.196</v>
      </c>
      <c r="AK22" s="449">
        <v>23288.838</v>
      </c>
      <c r="AL22" s="449">
        <v>22429.584000000003</v>
      </c>
      <c r="AM22" s="449">
        <v>22607.687999999998</v>
      </c>
      <c r="AN22" s="449">
        <v>23973.732</v>
      </c>
      <c r="AO22" s="449">
        <v>22606.295999999998</v>
      </c>
      <c r="AP22" s="449">
        <v>23571.462</v>
      </c>
      <c r="AQ22" s="449">
        <v>25137.845999999998</v>
      </c>
      <c r="AR22" s="449">
        <v>24079.008000000002</v>
      </c>
      <c r="AS22" s="449">
        <v>24483.923999999999</v>
      </c>
      <c r="AT22" s="449">
        <v>24160.152000000002</v>
      </c>
      <c r="AU22" s="449">
        <v>23973.366000000002</v>
      </c>
      <c r="AV22" s="449">
        <v>24589.686000000002</v>
      </c>
      <c r="AW22" s="449">
        <v>23979.263999999999</v>
      </c>
      <c r="AX22" s="449">
        <v>23088.300000000003</v>
      </c>
      <c r="AY22" s="449">
        <v>23190.54</v>
      </c>
      <c r="AZ22" s="449">
        <v>24252.444</v>
      </c>
      <c r="BA22" s="449">
        <v>23450.243999999999</v>
      </c>
      <c r="BB22" s="449">
        <v>24823.47</v>
      </c>
      <c r="BC22" s="449">
        <v>25406.387999999999</v>
      </c>
      <c r="BD22" s="449">
        <v>25482.516000000003</v>
      </c>
      <c r="BE22" s="449">
        <v>25199.375999999997</v>
      </c>
      <c r="BF22" s="449">
        <v>25407.347999999998</v>
      </c>
      <c r="BG22" s="449">
        <v>25980.36</v>
      </c>
      <c r="BH22" s="449">
        <v>26156.472000000002</v>
      </c>
      <c r="BI22" s="449">
        <v>25686.473999999998</v>
      </c>
      <c r="BJ22" s="449">
        <v>25560.294000000002</v>
      </c>
      <c r="BK22" s="449">
        <v>25524.42</v>
      </c>
      <c r="BL22" s="449">
        <v>27414.575999999997</v>
      </c>
      <c r="BM22" s="449">
        <v>25913.796000000002</v>
      </c>
      <c r="BN22" s="449">
        <v>28274.316000000003</v>
      </c>
      <c r="BO22" s="449">
        <v>28237.5</v>
      </c>
      <c r="BP22" s="449">
        <v>27888.977999999996</v>
      </c>
      <c r="BQ22" s="449">
        <v>28885.86</v>
      </c>
      <c r="BR22" s="449">
        <v>27412.452000000001</v>
      </c>
      <c r="BS22" s="449">
        <v>27660</v>
      </c>
      <c r="BT22" s="449">
        <v>27954.881999999998</v>
      </c>
      <c r="BU22" s="449">
        <v>27263.154000000002</v>
      </c>
      <c r="BV22" s="449">
        <v>27343.074000000001</v>
      </c>
      <c r="BW22" s="449">
        <v>27719.075999999997</v>
      </c>
      <c r="BX22" s="449">
        <v>28875.131999999998</v>
      </c>
      <c r="BY22" s="449">
        <v>28214.25</v>
      </c>
      <c r="BZ22" s="449">
        <v>30381.924000000003</v>
      </c>
      <c r="CA22" s="449">
        <v>30233.051999999996</v>
      </c>
      <c r="CB22" s="449">
        <v>30615.624000000003</v>
      </c>
      <c r="CC22" s="449">
        <v>31177.446</v>
      </c>
      <c r="CD22" s="449">
        <v>29917.121999999999</v>
      </c>
      <c r="CE22" s="449">
        <v>30866.124000000003</v>
      </c>
      <c r="CF22" s="449">
        <v>31929.006000000001</v>
      </c>
      <c r="CG22" s="449">
        <v>30722.159999999996</v>
      </c>
      <c r="CH22" s="449">
        <v>31889.777999999998</v>
      </c>
      <c r="CI22" s="449">
        <v>31659.384000000002</v>
      </c>
      <c r="CJ22" s="449">
        <v>32188.733999999997</v>
      </c>
      <c r="CK22" s="449">
        <v>32612.394</v>
      </c>
      <c r="CL22" s="449">
        <v>33838.091999999997</v>
      </c>
      <c r="CM22" s="449">
        <v>33329.904000000002</v>
      </c>
      <c r="CN22" s="449">
        <v>34360.716</v>
      </c>
      <c r="CO22" s="449">
        <v>34469.724000000002</v>
      </c>
      <c r="CP22" s="449">
        <v>33823.698000000004</v>
      </c>
      <c r="CQ22" s="449">
        <v>35131.554000000004</v>
      </c>
      <c r="CR22" s="449">
        <v>34083.786</v>
      </c>
      <c r="CS22" s="449">
        <v>32503.02</v>
      </c>
      <c r="CT22" s="449">
        <v>33014.904000000002</v>
      </c>
      <c r="CU22" s="449">
        <v>32679.822</v>
      </c>
      <c r="CV22" s="449">
        <v>34452.203999999998</v>
      </c>
      <c r="CW22" s="449">
        <v>33454.908000000003</v>
      </c>
      <c r="CX22" s="449">
        <v>34280.364000000001</v>
      </c>
      <c r="CY22" s="449">
        <v>34251.306000000004</v>
      </c>
      <c r="CZ22" s="449">
        <v>35331.78</v>
      </c>
      <c r="DA22" s="449">
        <v>34658.525999999998</v>
      </c>
      <c r="DB22" s="449">
        <v>34731.546000000002</v>
      </c>
      <c r="DC22" s="449">
        <v>35257.379999999997</v>
      </c>
      <c r="DD22" s="449">
        <v>34635.858</v>
      </c>
      <c r="DE22" s="449">
        <v>34648.044000000002</v>
      </c>
      <c r="DF22" s="449">
        <v>33685.476000000002</v>
      </c>
      <c r="DG22" s="449">
        <v>33770.928</v>
      </c>
      <c r="DH22" s="449">
        <v>36227.831999999995</v>
      </c>
      <c r="DI22" s="449">
        <v>35214.936000000002</v>
      </c>
      <c r="DJ22" s="449">
        <v>35344.175999999999</v>
      </c>
      <c r="DK22" s="449">
        <v>36612.066000000006</v>
      </c>
      <c r="DL22" s="449">
        <v>37390.991999999998</v>
      </c>
      <c r="DM22" s="449">
        <v>38095.482000000004</v>
      </c>
      <c r="DN22" s="449">
        <v>36935.850000000006</v>
      </c>
      <c r="DO22" s="449">
        <v>37574.597999999998</v>
      </c>
      <c r="DP22" s="449">
        <v>38475.149999999994</v>
      </c>
      <c r="DQ22" s="449">
        <v>37113.870000000003</v>
      </c>
      <c r="DR22" s="449">
        <v>36785.381999999998</v>
      </c>
      <c r="DS22" s="449">
        <v>36242.453999999998</v>
      </c>
      <c r="DT22" s="449">
        <v>39406.464</v>
      </c>
      <c r="DU22" s="449">
        <v>37933.421999999999</v>
      </c>
      <c r="DV22" s="449">
        <v>40613.345999999998</v>
      </c>
      <c r="DW22" s="449">
        <v>39887.993999999999</v>
      </c>
      <c r="DX22" s="449">
        <v>40701.306000000004</v>
      </c>
      <c r="DY22" s="449">
        <v>43379.94</v>
      </c>
      <c r="DZ22" s="449">
        <v>41896.661999999997</v>
      </c>
      <c r="EA22" s="449">
        <v>42373.745999999999</v>
      </c>
      <c r="EB22" s="449">
        <v>43003.338000000003</v>
      </c>
      <c r="EC22" s="449">
        <v>42816.875999999997</v>
      </c>
      <c r="ED22" s="449">
        <v>38691.840000000004</v>
      </c>
      <c r="EE22" s="449">
        <v>39245.495999999999</v>
      </c>
      <c r="EF22" s="449">
        <v>40768.47</v>
      </c>
      <c r="EG22" s="449">
        <v>39808.955999999998</v>
      </c>
      <c r="EH22" s="449">
        <v>42896.898000000001</v>
      </c>
      <c r="EI22" s="449">
        <v>41536.398000000001</v>
      </c>
      <c r="EJ22" s="449">
        <v>42246.756000000001</v>
      </c>
      <c r="EK22" s="449">
        <v>43634.957999999999</v>
      </c>
      <c r="EL22" s="449">
        <v>42782.58</v>
      </c>
      <c r="EM22" s="449">
        <v>44485.83</v>
      </c>
      <c r="EN22" s="449">
        <v>43725.438000000002</v>
      </c>
      <c r="EO22" s="449">
        <v>41627.154000000002</v>
      </c>
      <c r="EP22" s="449">
        <v>43387.998</v>
      </c>
      <c r="EQ22" s="449">
        <v>42188.207999999999</v>
      </c>
      <c r="ER22" s="449">
        <v>44737.091999999997</v>
      </c>
      <c r="ES22" s="449">
        <v>44497.374000000003</v>
      </c>
      <c r="ET22" s="449">
        <v>45814.212</v>
      </c>
      <c r="EU22" s="449">
        <v>44760.732000000004</v>
      </c>
      <c r="EV22" s="449">
        <v>46377.576000000001</v>
      </c>
      <c r="EW22" s="449">
        <v>46403.334000000003</v>
      </c>
      <c r="EX22" s="449">
        <v>44897.051999999996</v>
      </c>
      <c r="EY22" s="449">
        <v>47003.207999999999</v>
      </c>
      <c r="EZ22" s="449">
        <v>46498.8</v>
      </c>
      <c r="FA22" s="449">
        <v>43823.729999999996</v>
      </c>
      <c r="FB22" s="449">
        <v>44411.826000000001</v>
      </c>
      <c r="FC22" s="449">
        <v>42593.093999999997</v>
      </c>
      <c r="FD22" s="449">
        <v>44924.801999999996</v>
      </c>
      <c r="FE22" s="449">
        <v>42942.678</v>
      </c>
      <c r="FF22" s="449">
        <v>45076.884000000005</v>
      </c>
      <c r="FG22" s="449">
        <v>43956.995999999999</v>
      </c>
      <c r="FH22" s="449">
        <v>45779.328000000001</v>
      </c>
      <c r="FI22" s="449">
        <v>44614.296000000002</v>
      </c>
      <c r="FJ22" s="449">
        <v>44327.982000000004</v>
      </c>
      <c r="FK22" s="449">
        <v>45646.241999999998</v>
      </c>
      <c r="FL22" s="449">
        <v>44026.865999999995</v>
      </c>
      <c r="FM22" s="449">
        <v>43557.726000000002</v>
      </c>
      <c r="FN22" s="449">
        <v>42851.387999999999</v>
      </c>
      <c r="FO22" s="449">
        <v>41488.362000000001</v>
      </c>
      <c r="FP22" s="449">
        <v>44733.198000000004</v>
      </c>
      <c r="FQ22" s="449">
        <v>42077.777999999998</v>
      </c>
      <c r="FR22" s="449">
        <v>43289.561999999998</v>
      </c>
      <c r="FS22" s="449">
        <v>43251.353999999999</v>
      </c>
      <c r="FT22" s="449">
        <v>43362.81</v>
      </c>
      <c r="FU22" s="449">
        <v>42845.634000000005</v>
      </c>
      <c r="FV22" s="449">
        <v>41386.115999999995</v>
      </c>
      <c r="FW22" s="449">
        <v>41612.561999999998</v>
      </c>
      <c r="FX22" s="449">
        <v>41938.487999999998</v>
      </c>
      <c r="FY22" s="449">
        <v>41136.797999999995</v>
      </c>
      <c r="FZ22" s="449">
        <v>40486.074000000001</v>
      </c>
      <c r="GA22" s="449">
        <v>41068.284</v>
      </c>
      <c r="GB22" s="449">
        <v>42155.448000000004</v>
      </c>
      <c r="GC22" s="449">
        <v>40201.703999999998</v>
      </c>
      <c r="GD22" s="449">
        <v>42642.017999999996</v>
      </c>
      <c r="GE22" s="449">
        <v>41332.902000000002</v>
      </c>
      <c r="GF22" s="449">
        <v>40632.57</v>
      </c>
      <c r="GG22" s="449">
        <v>42154.974000000002</v>
      </c>
      <c r="GH22" s="449">
        <v>39799.824000000001</v>
      </c>
      <c r="GI22" s="449">
        <v>40518</v>
      </c>
      <c r="GJ22" s="449">
        <v>41136.654000000002</v>
      </c>
      <c r="GK22" s="449">
        <v>39187.542000000001</v>
      </c>
      <c r="GL22" s="449">
        <v>39637.115999999995</v>
      </c>
      <c r="GM22" s="449">
        <v>38989.620000000003</v>
      </c>
      <c r="GN22" s="449">
        <v>42390.090000000004</v>
      </c>
      <c r="GO22" s="449">
        <v>39112.085999999996</v>
      </c>
      <c r="GP22" s="449">
        <v>42802.248</v>
      </c>
      <c r="GQ22" s="449">
        <v>41060.736000000004</v>
      </c>
      <c r="GR22" s="449">
        <v>41789.232000000004</v>
      </c>
      <c r="GS22" s="449">
        <v>42960.851999999999</v>
      </c>
      <c r="GT22" s="449">
        <v>41001.474000000002</v>
      </c>
      <c r="GU22" s="449">
        <v>42036.21</v>
      </c>
      <c r="GV22" s="449">
        <v>42489.156000000003</v>
      </c>
      <c r="GW22" s="449">
        <v>40001.364000000001</v>
      </c>
      <c r="GX22" s="449">
        <v>42599.19</v>
      </c>
      <c r="GY22" s="449">
        <v>40524.683999999994</v>
      </c>
      <c r="GZ22" s="449">
        <v>43105.943999999996</v>
      </c>
      <c r="HA22" s="449">
        <v>41735.267999999996</v>
      </c>
      <c r="HB22" s="449">
        <v>44507.171999999999</v>
      </c>
      <c r="HC22" s="449">
        <v>43204.409999999996</v>
      </c>
      <c r="HD22" s="449">
        <v>44672.243999999999</v>
      </c>
      <c r="HE22" s="449">
        <v>44481.108</v>
      </c>
      <c r="HF22" s="449">
        <v>41987.448000000004</v>
      </c>
      <c r="HG22" s="449">
        <v>45224.142</v>
      </c>
      <c r="HH22" s="449">
        <v>45015.995999999999</v>
      </c>
      <c r="HI22" s="449">
        <v>43752.522000000004</v>
      </c>
      <c r="HJ22" s="449">
        <v>43917.75</v>
      </c>
      <c r="HK22" s="449">
        <v>42523.385999999999</v>
      </c>
      <c r="HL22" s="449">
        <v>45303.78</v>
      </c>
      <c r="HM22" s="449">
        <v>42958.385999999999</v>
      </c>
      <c r="HN22" s="449">
        <v>46939.158000000003</v>
      </c>
      <c r="HO22" s="449">
        <v>46038.06</v>
      </c>
      <c r="HP22" s="449">
        <v>47735.076000000001</v>
      </c>
      <c r="HQ22" s="449">
        <v>47198.915999999997</v>
      </c>
      <c r="HR22" s="449">
        <v>45710.993999999999</v>
      </c>
      <c r="HS22" s="449">
        <v>47288.07</v>
      </c>
      <c r="HT22" s="449">
        <v>45758.591999999997</v>
      </c>
      <c r="HU22" s="449">
        <v>45393.516000000003</v>
      </c>
      <c r="HV22" s="449">
        <v>45279.377999999997</v>
      </c>
      <c r="HW22" s="449">
        <v>45113.502</v>
      </c>
      <c r="HX22" s="449">
        <v>46528.248</v>
      </c>
      <c r="HY22" s="449">
        <v>44109.828000000001</v>
      </c>
      <c r="HZ22" s="449">
        <v>47238.036</v>
      </c>
      <c r="IA22" s="449">
        <v>47176.122000000003</v>
      </c>
      <c r="IB22" s="449">
        <v>48497.304000000004</v>
      </c>
      <c r="IC22" s="449">
        <v>48819.084000000003</v>
      </c>
      <c r="ID22" s="449">
        <v>47543.538</v>
      </c>
      <c r="IE22" s="449">
        <v>48316.152000000002</v>
      </c>
      <c r="IF22" s="449">
        <v>48680.634000000005</v>
      </c>
      <c r="IG22" s="449">
        <v>46831.229999999996</v>
      </c>
      <c r="IH22" s="449">
        <v>46558.14</v>
      </c>
      <c r="II22" s="449">
        <v>44300.627999999997</v>
      </c>
      <c r="IJ22" s="449">
        <v>51490.157999999996</v>
      </c>
      <c r="IK22" s="449">
        <v>46908.858</v>
      </c>
      <c r="IL22" s="449">
        <v>49727.117999999995</v>
      </c>
      <c r="IM22" s="449">
        <v>49495.824000000001</v>
      </c>
      <c r="IN22" s="450">
        <v>49490.957999999999</v>
      </c>
      <c r="IO22" s="450">
        <v>51139.122000000003</v>
      </c>
      <c r="IP22" s="450">
        <v>49483.697999999997</v>
      </c>
      <c r="IQ22" s="450">
        <v>51049.751999999993</v>
      </c>
      <c r="IR22" s="450">
        <v>50753.736000000004</v>
      </c>
      <c r="IS22" s="450">
        <v>48307.938000000002</v>
      </c>
      <c r="IT22" s="450">
        <v>47767.433999999994</v>
      </c>
      <c r="IU22" s="450">
        <v>47312.639999999999</v>
      </c>
      <c r="IV22" s="450">
        <v>49624.331999999995</v>
      </c>
      <c r="IW22" s="451">
        <v>49143.144</v>
      </c>
      <c r="IX22" s="451">
        <v>53609.052000000003</v>
      </c>
      <c r="IY22" s="451">
        <v>53868.508000000002</v>
      </c>
      <c r="IZ22" s="451">
        <v>54062.368000000002</v>
      </c>
      <c r="JA22" s="451">
        <v>56066.298000000003</v>
      </c>
      <c r="JB22" s="451">
        <v>57981.998</v>
      </c>
      <c r="JC22" s="451">
        <v>59079.546000000002</v>
      </c>
      <c r="JD22" s="451">
        <v>60158.48</v>
      </c>
      <c r="JE22" s="452">
        <v>61301.523999999998</v>
      </c>
    </row>
    <row r="23" spans="1:265" x14ac:dyDescent="0.3">
      <c r="IA23" s="413"/>
      <c r="IB23" s="413"/>
      <c r="IC23" s="413"/>
      <c r="ID23" s="413"/>
      <c r="IE23" s="413"/>
      <c r="IF23" s="413"/>
      <c r="IG23" s="413"/>
      <c r="IH23" s="413"/>
      <c r="II23" s="413"/>
      <c r="IJ23" s="413"/>
      <c r="IK23" s="413"/>
      <c r="IL23" s="413"/>
      <c r="IM23" s="413"/>
      <c r="IN23" s="3"/>
    </row>
    <row r="24" spans="1:265" x14ac:dyDescent="0.3">
      <c r="IA24" s="413"/>
      <c r="IB24" s="413"/>
      <c r="IC24" s="413"/>
      <c r="ID24" s="413"/>
      <c r="IE24" s="413"/>
      <c r="IF24" s="413"/>
      <c r="IG24" s="413"/>
      <c r="IH24" s="413"/>
      <c r="II24" s="413"/>
      <c r="IJ24" s="413"/>
      <c r="IK24" s="413"/>
      <c r="IL24" s="413"/>
      <c r="IM24" s="413"/>
      <c r="IN24" s="3"/>
    </row>
    <row r="25" spans="1:265" ht="15" thickBot="1" x14ac:dyDescent="0.35">
      <c r="A25" s="4" t="s">
        <v>193</v>
      </c>
      <c r="IA25" s="413"/>
      <c r="IB25" s="413"/>
      <c r="IC25" s="413"/>
      <c r="ID25" s="413"/>
      <c r="IE25" s="413"/>
      <c r="IF25" s="413"/>
      <c r="IG25" s="413"/>
      <c r="IH25" s="413"/>
      <c r="II25" s="413"/>
      <c r="IJ25" s="413"/>
      <c r="IK25" s="413"/>
      <c r="IL25" s="413"/>
      <c r="IM25" s="413"/>
      <c r="IN25" s="3"/>
    </row>
    <row r="26" spans="1:265" x14ac:dyDescent="0.3">
      <c r="A26" s="388" t="s">
        <v>82</v>
      </c>
      <c r="B26" s="440">
        <v>36892</v>
      </c>
      <c r="C26" s="440">
        <v>36923</v>
      </c>
      <c r="D26" s="440">
        <v>36951</v>
      </c>
      <c r="E26" s="440">
        <v>36982</v>
      </c>
      <c r="F26" s="440">
        <v>37012</v>
      </c>
      <c r="G26" s="440">
        <v>37043</v>
      </c>
      <c r="H26" s="440">
        <v>37073</v>
      </c>
      <c r="I26" s="440">
        <v>37104</v>
      </c>
      <c r="J26" s="440">
        <v>37135</v>
      </c>
      <c r="K26" s="440">
        <v>37165</v>
      </c>
      <c r="L26" s="440">
        <v>37196</v>
      </c>
      <c r="M26" s="440">
        <v>37226</v>
      </c>
      <c r="N26" s="440">
        <v>37257</v>
      </c>
      <c r="O26" s="440">
        <v>37288</v>
      </c>
      <c r="P26" s="440">
        <v>37316</v>
      </c>
      <c r="Q26" s="440">
        <v>37347</v>
      </c>
      <c r="R26" s="440">
        <v>37377</v>
      </c>
      <c r="S26" s="440">
        <v>37408</v>
      </c>
      <c r="T26" s="440">
        <v>37438</v>
      </c>
      <c r="U26" s="440">
        <v>37469</v>
      </c>
      <c r="V26" s="440">
        <v>37500</v>
      </c>
      <c r="W26" s="440">
        <v>37530</v>
      </c>
      <c r="X26" s="440">
        <v>37561</v>
      </c>
      <c r="Y26" s="440">
        <v>37591</v>
      </c>
      <c r="Z26" s="440">
        <v>37622</v>
      </c>
      <c r="AA26" s="440">
        <v>37653</v>
      </c>
      <c r="AB26" s="440">
        <v>37681</v>
      </c>
      <c r="AC26" s="440">
        <v>37712</v>
      </c>
      <c r="AD26" s="440">
        <v>37742</v>
      </c>
      <c r="AE26" s="440">
        <v>37773</v>
      </c>
      <c r="AF26" s="440">
        <v>37803</v>
      </c>
      <c r="AG26" s="440">
        <v>37834</v>
      </c>
      <c r="AH26" s="440">
        <v>37865</v>
      </c>
      <c r="AI26" s="440">
        <v>37895</v>
      </c>
      <c r="AJ26" s="440">
        <v>37926</v>
      </c>
      <c r="AK26" s="440">
        <v>37956</v>
      </c>
      <c r="AL26" s="440">
        <v>37987</v>
      </c>
      <c r="AM26" s="440">
        <v>38018</v>
      </c>
      <c r="AN26" s="440">
        <v>38047</v>
      </c>
      <c r="AO26" s="440">
        <v>38078</v>
      </c>
      <c r="AP26" s="440">
        <v>38108</v>
      </c>
      <c r="AQ26" s="440">
        <v>38139</v>
      </c>
      <c r="AR26" s="440">
        <v>38169</v>
      </c>
      <c r="AS26" s="440">
        <v>38200</v>
      </c>
      <c r="AT26" s="440">
        <v>38231</v>
      </c>
      <c r="AU26" s="440">
        <v>38261</v>
      </c>
      <c r="AV26" s="440">
        <v>38292</v>
      </c>
      <c r="AW26" s="440">
        <v>38322</v>
      </c>
      <c r="AX26" s="440">
        <v>38353</v>
      </c>
      <c r="AY26" s="440">
        <v>38384</v>
      </c>
      <c r="AZ26" s="440">
        <v>38412</v>
      </c>
      <c r="BA26" s="440">
        <v>38443</v>
      </c>
      <c r="BB26" s="440">
        <v>38473</v>
      </c>
      <c r="BC26" s="440">
        <v>38504</v>
      </c>
      <c r="BD26" s="440">
        <v>38534</v>
      </c>
      <c r="BE26" s="440">
        <v>38565</v>
      </c>
      <c r="BF26" s="440">
        <v>38596</v>
      </c>
      <c r="BG26" s="440">
        <v>38626</v>
      </c>
      <c r="BH26" s="440">
        <v>38657</v>
      </c>
      <c r="BI26" s="440">
        <v>38687</v>
      </c>
      <c r="BJ26" s="440">
        <v>38718</v>
      </c>
      <c r="BK26" s="440">
        <v>38749</v>
      </c>
      <c r="BL26" s="440">
        <v>38777</v>
      </c>
      <c r="BM26" s="440">
        <v>38808</v>
      </c>
      <c r="BN26" s="440">
        <v>38838</v>
      </c>
      <c r="BO26" s="440">
        <v>38869</v>
      </c>
      <c r="BP26" s="440">
        <v>38899</v>
      </c>
      <c r="BQ26" s="440">
        <v>38930</v>
      </c>
      <c r="BR26" s="440">
        <v>38961</v>
      </c>
      <c r="BS26" s="440">
        <v>38991</v>
      </c>
      <c r="BT26" s="440">
        <v>39022</v>
      </c>
      <c r="BU26" s="440">
        <v>39052</v>
      </c>
      <c r="BV26" s="440">
        <v>39083</v>
      </c>
      <c r="BW26" s="440">
        <v>39114</v>
      </c>
      <c r="BX26" s="440">
        <v>39142</v>
      </c>
      <c r="BY26" s="440">
        <v>39173</v>
      </c>
      <c r="BZ26" s="440">
        <v>39203</v>
      </c>
      <c r="CA26" s="440">
        <v>39234</v>
      </c>
      <c r="CB26" s="440">
        <v>39264</v>
      </c>
      <c r="CC26" s="440">
        <v>39295</v>
      </c>
      <c r="CD26" s="440">
        <v>39326</v>
      </c>
      <c r="CE26" s="440">
        <v>39356</v>
      </c>
      <c r="CF26" s="441">
        <v>39387</v>
      </c>
      <c r="CG26" s="441">
        <v>39417</v>
      </c>
      <c r="CH26" s="441">
        <v>39448</v>
      </c>
      <c r="CI26" s="441">
        <v>39479</v>
      </c>
      <c r="CJ26" s="441">
        <v>39508</v>
      </c>
      <c r="CK26" s="441">
        <v>39539</v>
      </c>
      <c r="CL26" s="441">
        <v>39569</v>
      </c>
      <c r="CM26" s="441">
        <v>39600</v>
      </c>
      <c r="CN26" s="441">
        <v>39630</v>
      </c>
      <c r="CO26" s="441">
        <v>39661</v>
      </c>
      <c r="CP26" s="441">
        <v>39692</v>
      </c>
      <c r="CQ26" s="441">
        <v>39722</v>
      </c>
      <c r="CR26" s="441">
        <v>39753</v>
      </c>
      <c r="CS26" s="441">
        <v>39783</v>
      </c>
      <c r="CT26" s="441">
        <v>39814</v>
      </c>
      <c r="CU26" s="441">
        <v>39845</v>
      </c>
      <c r="CV26" s="441">
        <v>39873</v>
      </c>
      <c r="CW26" s="441">
        <v>39904</v>
      </c>
      <c r="CX26" s="441">
        <v>39934</v>
      </c>
      <c r="CY26" s="441">
        <v>39965</v>
      </c>
      <c r="CZ26" s="441">
        <v>39995</v>
      </c>
      <c r="DA26" s="441">
        <v>40026</v>
      </c>
      <c r="DB26" s="441">
        <v>40057</v>
      </c>
      <c r="DC26" s="441">
        <v>40087</v>
      </c>
      <c r="DD26" s="441">
        <v>40118</v>
      </c>
      <c r="DE26" s="441">
        <v>40148</v>
      </c>
      <c r="DF26" s="441">
        <v>40179</v>
      </c>
      <c r="DG26" s="441">
        <v>40210</v>
      </c>
      <c r="DH26" s="441">
        <v>40238</v>
      </c>
      <c r="DI26" s="441">
        <v>40269</v>
      </c>
      <c r="DJ26" s="441">
        <v>40299</v>
      </c>
      <c r="DK26" s="441">
        <v>40330</v>
      </c>
      <c r="DL26" s="441">
        <v>40360</v>
      </c>
      <c r="DM26" s="441">
        <v>40391</v>
      </c>
      <c r="DN26" s="441">
        <v>40422</v>
      </c>
      <c r="DO26" s="441">
        <v>40452</v>
      </c>
      <c r="DP26" s="441">
        <v>40483</v>
      </c>
      <c r="DQ26" s="441">
        <v>40513</v>
      </c>
      <c r="DR26" s="441">
        <v>40544</v>
      </c>
      <c r="DS26" s="441">
        <v>40575</v>
      </c>
      <c r="DT26" s="441">
        <v>40603</v>
      </c>
      <c r="DU26" s="441">
        <v>40634</v>
      </c>
      <c r="DV26" s="441">
        <v>40664</v>
      </c>
      <c r="DW26" s="441">
        <v>40695</v>
      </c>
      <c r="DX26" s="441">
        <v>40725</v>
      </c>
      <c r="DY26" s="441">
        <v>40756</v>
      </c>
      <c r="DZ26" s="441">
        <v>40787</v>
      </c>
      <c r="EA26" s="441">
        <v>40817</v>
      </c>
      <c r="EB26" s="441">
        <v>40848</v>
      </c>
      <c r="EC26" s="441">
        <v>40878</v>
      </c>
      <c r="ED26" s="441">
        <v>40909</v>
      </c>
      <c r="EE26" s="441">
        <v>40940</v>
      </c>
      <c r="EF26" s="441">
        <v>40969</v>
      </c>
      <c r="EG26" s="441">
        <v>41000</v>
      </c>
      <c r="EH26" s="441">
        <v>41030</v>
      </c>
      <c r="EI26" s="441">
        <v>41061</v>
      </c>
      <c r="EJ26" s="441">
        <v>41091</v>
      </c>
      <c r="EK26" s="441">
        <v>41122</v>
      </c>
      <c r="EL26" s="441">
        <v>41153</v>
      </c>
      <c r="EM26" s="441">
        <v>41183</v>
      </c>
      <c r="EN26" s="441">
        <v>41214</v>
      </c>
      <c r="EO26" s="441">
        <v>41244</v>
      </c>
      <c r="EP26" s="441">
        <v>41275</v>
      </c>
      <c r="EQ26" s="441">
        <v>41306</v>
      </c>
      <c r="ER26" s="441">
        <v>41334</v>
      </c>
      <c r="ES26" s="441">
        <v>41365</v>
      </c>
      <c r="ET26" s="441">
        <v>41395</v>
      </c>
      <c r="EU26" s="441">
        <v>41426</v>
      </c>
      <c r="EV26" s="441">
        <v>41456</v>
      </c>
      <c r="EW26" s="441">
        <v>41487</v>
      </c>
      <c r="EX26" s="441">
        <v>41518</v>
      </c>
      <c r="EY26" s="441">
        <v>41548</v>
      </c>
      <c r="EZ26" s="441">
        <v>41579</v>
      </c>
      <c r="FA26" s="441">
        <v>41609</v>
      </c>
      <c r="FB26" s="441">
        <v>41640</v>
      </c>
      <c r="FC26" s="441">
        <v>41671</v>
      </c>
      <c r="FD26" s="441">
        <v>41699</v>
      </c>
      <c r="FE26" s="441">
        <v>41730</v>
      </c>
      <c r="FF26" s="441">
        <v>41760</v>
      </c>
      <c r="FG26" s="441">
        <v>41791</v>
      </c>
      <c r="FH26" s="441">
        <v>41821</v>
      </c>
      <c r="FI26" s="441">
        <v>41852</v>
      </c>
      <c r="FJ26" s="441">
        <v>41883</v>
      </c>
      <c r="FK26" s="441">
        <v>41913</v>
      </c>
      <c r="FL26" s="441">
        <v>41944</v>
      </c>
      <c r="FM26" s="441">
        <v>41974</v>
      </c>
      <c r="FN26" s="441">
        <v>42005</v>
      </c>
      <c r="FO26" s="441">
        <v>42036</v>
      </c>
      <c r="FP26" s="441">
        <v>42064</v>
      </c>
      <c r="FQ26" s="441">
        <v>42095</v>
      </c>
      <c r="FR26" s="441">
        <v>42125</v>
      </c>
      <c r="FS26" s="441">
        <v>42156</v>
      </c>
      <c r="FT26" s="441">
        <v>42186</v>
      </c>
      <c r="FU26" s="441">
        <v>42217</v>
      </c>
      <c r="FV26" s="441">
        <v>42248</v>
      </c>
      <c r="FW26" s="441">
        <v>42278</v>
      </c>
      <c r="FX26" s="441">
        <v>42309</v>
      </c>
      <c r="FY26" s="441">
        <v>42339</v>
      </c>
      <c r="FZ26" s="441">
        <v>42370</v>
      </c>
      <c r="GA26" s="441">
        <v>42401</v>
      </c>
      <c r="GB26" s="441">
        <v>42430</v>
      </c>
      <c r="GC26" s="441">
        <v>42461</v>
      </c>
      <c r="GD26" s="441">
        <v>42491</v>
      </c>
      <c r="GE26" s="441">
        <v>42522</v>
      </c>
      <c r="GF26" s="441">
        <v>42552</v>
      </c>
      <c r="GG26" s="441">
        <v>42583</v>
      </c>
      <c r="GH26" s="441">
        <v>42614</v>
      </c>
      <c r="GI26" s="441">
        <v>42644</v>
      </c>
      <c r="GJ26" s="441">
        <v>42675</v>
      </c>
      <c r="GK26" s="441">
        <v>42705</v>
      </c>
      <c r="GL26" s="441">
        <v>42736</v>
      </c>
      <c r="GM26" s="441">
        <v>42767</v>
      </c>
      <c r="GN26" s="441">
        <v>42795</v>
      </c>
      <c r="GO26" s="441">
        <v>42826</v>
      </c>
      <c r="GP26" s="441">
        <v>42856</v>
      </c>
      <c r="GQ26" s="441">
        <v>42887</v>
      </c>
      <c r="GR26" s="441">
        <v>42917</v>
      </c>
      <c r="GS26" s="441">
        <v>42948</v>
      </c>
      <c r="GT26" s="441">
        <v>42979</v>
      </c>
      <c r="GU26" s="441">
        <v>43009</v>
      </c>
      <c r="GV26" s="441">
        <v>43040</v>
      </c>
      <c r="GW26" s="441">
        <v>43070</v>
      </c>
      <c r="GX26" s="441">
        <v>43101</v>
      </c>
      <c r="GY26" s="441">
        <v>43132</v>
      </c>
      <c r="GZ26" s="441">
        <v>43160</v>
      </c>
      <c r="HA26" s="441">
        <v>43191</v>
      </c>
      <c r="HB26" s="441">
        <v>43221</v>
      </c>
      <c r="HC26" s="441">
        <v>43252</v>
      </c>
      <c r="HD26" s="441">
        <v>43282</v>
      </c>
      <c r="HE26" s="441">
        <v>43313</v>
      </c>
      <c r="HF26" s="441">
        <v>43344</v>
      </c>
      <c r="HG26" s="441">
        <v>43374</v>
      </c>
      <c r="HH26" s="441">
        <v>43405</v>
      </c>
      <c r="HI26" s="441">
        <v>43435</v>
      </c>
      <c r="HJ26" s="441">
        <v>43466</v>
      </c>
      <c r="HK26" s="441">
        <v>43497</v>
      </c>
      <c r="HL26" s="441">
        <v>43525</v>
      </c>
      <c r="HM26" s="441">
        <v>43556</v>
      </c>
      <c r="HN26" s="441">
        <v>43586</v>
      </c>
      <c r="HO26" s="441">
        <v>43617</v>
      </c>
      <c r="HP26" s="441">
        <v>43647</v>
      </c>
      <c r="HQ26" s="441">
        <v>43678</v>
      </c>
      <c r="HR26" s="441">
        <v>43709</v>
      </c>
      <c r="HS26" s="441">
        <v>43739</v>
      </c>
      <c r="HT26" s="441">
        <v>43770</v>
      </c>
      <c r="HU26" s="441">
        <v>43800</v>
      </c>
      <c r="HV26" s="441">
        <v>43831</v>
      </c>
      <c r="HW26" s="441">
        <v>43862</v>
      </c>
      <c r="HX26" s="441">
        <v>43891</v>
      </c>
      <c r="HY26" s="441">
        <v>43922</v>
      </c>
      <c r="HZ26" s="441">
        <v>43952</v>
      </c>
      <c r="IA26" s="441">
        <v>43983</v>
      </c>
      <c r="IB26" s="441">
        <v>44013</v>
      </c>
      <c r="IC26" s="441">
        <v>44044</v>
      </c>
      <c r="ID26" s="441">
        <v>44075</v>
      </c>
      <c r="IE26" s="441">
        <v>44105</v>
      </c>
      <c r="IF26" s="441">
        <v>44136</v>
      </c>
      <c r="IG26" s="441">
        <v>44166</v>
      </c>
      <c r="IH26" s="441">
        <v>44197</v>
      </c>
      <c r="II26" s="441">
        <v>44228</v>
      </c>
      <c r="IJ26" s="441">
        <v>44256</v>
      </c>
      <c r="IK26" s="441">
        <v>44287</v>
      </c>
      <c r="IL26" s="441">
        <v>44317</v>
      </c>
      <c r="IM26" s="441">
        <v>44348</v>
      </c>
      <c r="IN26" s="441">
        <v>44378</v>
      </c>
      <c r="IO26" s="441">
        <v>44409</v>
      </c>
      <c r="IP26" s="441">
        <v>44440</v>
      </c>
      <c r="IQ26" s="441">
        <v>44470</v>
      </c>
      <c r="IR26" s="441">
        <v>44501</v>
      </c>
      <c r="IS26" s="441">
        <v>44531</v>
      </c>
      <c r="IT26" s="441">
        <v>44562</v>
      </c>
      <c r="IU26" s="441">
        <v>44593</v>
      </c>
      <c r="IV26" s="441">
        <v>44621</v>
      </c>
      <c r="IW26" s="442">
        <v>44713</v>
      </c>
      <c r="IX26" s="442">
        <v>44805</v>
      </c>
      <c r="IY26" s="442">
        <v>44896</v>
      </c>
      <c r="IZ26" s="442">
        <v>44986</v>
      </c>
      <c r="JA26" s="442">
        <v>45078</v>
      </c>
      <c r="JB26" s="442">
        <v>45170</v>
      </c>
      <c r="JC26" s="442">
        <v>45261</v>
      </c>
      <c r="JD26" s="442">
        <v>45352</v>
      </c>
      <c r="JE26" s="443">
        <v>45444</v>
      </c>
    </row>
    <row r="27" spans="1:265" x14ac:dyDescent="0.3">
      <c r="A27" s="394" t="s">
        <v>85</v>
      </c>
      <c r="B27" s="392">
        <v>1203.0840000000001</v>
      </c>
      <c r="C27" s="392">
        <v>1165.932</v>
      </c>
      <c r="D27" s="392">
        <v>1268.3220000000001</v>
      </c>
      <c r="E27" s="392">
        <v>1261.068</v>
      </c>
      <c r="F27" s="392">
        <v>1347.66</v>
      </c>
      <c r="G27" s="392">
        <v>1371.1320000000001</v>
      </c>
      <c r="H27" s="392">
        <v>1346.826</v>
      </c>
      <c r="I27" s="392">
        <v>1346.202</v>
      </c>
      <c r="J27" s="392">
        <v>1249.902</v>
      </c>
      <c r="K27" s="392">
        <v>1386.51</v>
      </c>
      <c r="L27" s="392">
        <v>1382.9279999999999</v>
      </c>
      <c r="M27" s="392">
        <v>1993.4339999999997</v>
      </c>
      <c r="N27" s="392">
        <v>1856.712</v>
      </c>
      <c r="O27" s="392">
        <v>1443.57</v>
      </c>
      <c r="P27" s="392">
        <v>1538.1179999999999</v>
      </c>
      <c r="Q27" s="392">
        <v>1421.856</v>
      </c>
      <c r="R27" s="392">
        <v>1493.1120000000001</v>
      </c>
      <c r="S27" s="392">
        <v>1377.0539999999999</v>
      </c>
      <c r="T27" s="392">
        <v>1489.182</v>
      </c>
      <c r="U27" s="392">
        <v>1330.002</v>
      </c>
      <c r="V27" s="392">
        <v>1578.6420000000003</v>
      </c>
      <c r="W27" s="392">
        <v>1668.096</v>
      </c>
      <c r="X27" s="392">
        <v>2227.0680000000002</v>
      </c>
      <c r="Y27" s="392">
        <v>1450.6619999999998</v>
      </c>
      <c r="Z27" s="392">
        <v>1564.008</v>
      </c>
      <c r="AA27" s="392">
        <v>1519.4159999999999</v>
      </c>
      <c r="AB27" s="392">
        <v>1598.106</v>
      </c>
      <c r="AC27" s="392">
        <v>1541.94</v>
      </c>
      <c r="AD27" s="392">
        <v>1892.0340000000001</v>
      </c>
      <c r="AE27" s="392">
        <v>1724.5920000000001</v>
      </c>
      <c r="AF27" s="392">
        <v>1766.0280000000002</v>
      </c>
      <c r="AG27" s="392">
        <v>1765.1760000000002</v>
      </c>
      <c r="AH27" s="392">
        <v>1430.502</v>
      </c>
      <c r="AI27" s="392">
        <v>1903.5359999999998</v>
      </c>
      <c r="AJ27" s="392">
        <v>1888.7460000000001</v>
      </c>
      <c r="AK27" s="392">
        <v>1485.1619999999998</v>
      </c>
      <c r="AL27" s="392">
        <v>1732.9079999999999</v>
      </c>
      <c r="AM27" s="392">
        <v>1889.568</v>
      </c>
      <c r="AN27" s="392">
        <v>2136.4560000000001</v>
      </c>
      <c r="AO27" s="392">
        <v>1983.84</v>
      </c>
      <c r="AP27" s="392">
        <v>2070.9539999999997</v>
      </c>
      <c r="AQ27" s="392">
        <v>1887.7559999999999</v>
      </c>
      <c r="AR27" s="392">
        <v>2298.5639999999999</v>
      </c>
      <c r="AS27" s="392">
        <v>2126.652</v>
      </c>
      <c r="AT27" s="392">
        <v>2442.9539999999997</v>
      </c>
      <c r="AU27" s="392">
        <v>2382.306</v>
      </c>
      <c r="AV27" s="392">
        <v>2814.3359999999998</v>
      </c>
      <c r="AW27" s="392">
        <v>3548.8140000000003</v>
      </c>
      <c r="AX27" s="392">
        <v>2831.364</v>
      </c>
      <c r="AY27" s="392">
        <v>2964.0419999999999</v>
      </c>
      <c r="AZ27" s="392">
        <v>3250.6320000000005</v>
      </c>
      <c r="BA27" s="392">
        <v>3651.75</v>
      </c>
      <c r="BB27" s="392">
        <v>4174.1039999999994</v>
      </c>
      <c r="BC27" s="392">
        <v>3849.7200000000003</v>
      </c>
      <c r="BD27" s="392">
        <v>3932.3339999999998</v>
      </c>
      <c r="BE27" s="392">
        <v>4236.6120000000001</v>
      </c>
      <c r="BF27" s="392">
        <v>4207.9439999999995</v>
      </c>
      <c r="BG27" s="392">
        <v>3360</v>
      </c>
      <c r="BH27" s="392">
        <v>4611.7440000000006</v>
      </c>
      <c r="BI27" s="392">
        <v>4231.8720000000003</v>
      </c>
      <c r="BJ27" s="392">
        <v>3641.3879999999999</v>
      </c>
      <c r="BK27" s="392">
        <v>4286.0879999999997</v>
      </c>
      <c r="BL27" s="392">
        <v>4468.4880000000003</v>
      </c>
      <c r="BM27" s="392">
        <v>2744.16</v>
      </c>
      <c r="BN27" s="392">
        <v>4877.6639999999998</v>
      </c>
      <c r="BO27" s="392">
        <v>4407.8220000000001</v>
      </c>
      <c r="BP27" s="392">
        <v>3900.12</v>
      </c>
      <c r="BQ27" s="392">
        <v>2809.098</v>
      </c>
      <c r="BR27" s="392">
        <v>2263.6860000000001</v>
      </c>
      <c r="BS27" s="392">
        <v>2491.5299999999997</v>
      </c>
      <c r="BT27" s="392">
        <v>2808.5219999999999</v>
      </c>
      <c r="BU27" s="392">
        <v>2499.0540000000001</v>
      </c>
      <c r="BV27" s="392">
        <v>2388.8579999999997</v>
      </c>
      <c r="BW27" s="392">
        <v>2708.424</v>
      </c>
      <c r="BX27" s="392">
        <v>2993.04</v>
      </c>
      <c r="BY27" s="392">
        <v>2089.6440000000002</v>
      </c>
      <c r="BZ27" s="392">
        <v>2896.9679999999998</v>
      </c>
      <c r="CA27" s="392">
        <v>2689.8119999999999</v>
      </c>
      <c r="CB27" s="392">
        <v>2760.2400000000002</v>
      </c>
      <c r="CC27" s="392">
        <v>2748.9119999999998</v>
      </c>
      <c r="CD27" s="392">
        <v>2429.46</v>
      </c>
      <c r="CE27" s="392">
        <v>2485.59</v>
      </c>
      <c r="CF27" s="392">
        <v>2479.3500000000004</v>
      </c>
      <c r="CG27" s="392">
        <v>2172.4079999999999</v>
      </c>
      <c r="CH27" s="392">
        <v>2052.9780000000001</v>
      </c>
      <c r="CI27" s="392">
        <v>2703.3180000000002</v>
      </c>
      <c r="CJ27" s="392">
        <v>2278.2660000000001</v>
      </c>
      <c r="CK27" s="392">
        <v>2404.752</v>
      </c>
      <c r="CL27" s="392">
        <v>2390.1059999999998</v>
      </c>
      <c r="CM27" s="392">
        <v>2486.2259999999997</v>
      </c>
      <c r="CN27" s="392">
        <v>2564.2020000000002</v>
      </c>
      <c r="CO27" s="392">
        <v>2515.6079999999997</v>
      </c>
      <c r="CP27" s="392">
        <v>2542.614</v>
      </c>
      <c r="CQ27" s="392">
        <v>2755.59</v>
      </c>
      <c r="CR27" s="392">
        <v>2769.69</v>
      </c>
      <c r="CS27" s="392">
        <v>2489.9339999999997</v>
      </c>
      <c r="CT27" s="392">
        <v>2436.2039999999997</v>
      </c>
      <c r="CU27" s="392">
        <v>3082.5360000000001</v>
      </c>
      <c r="CV27" s="392">
        <v>2813.5259999999998</v>
      </c>
      <c r="CW27" s="392">
        <v>2645.1660000000002</v>
      </c>
      <c r="CX27" s="392">
        <v>2632.674</v>
      </c>
      <c r="CY27" s="392">
        <v>2552.6459999999997</v>
      </c>
      <c r="CZ27" s="392">
        <v>2772.7919999999999</v>
      </c>
      <c r="DA27" s="392">
        <v>2658.732</v>
      </c>
      <c r="DB27" s="392">
        <v>3004.422</v>
      </c>
      <c r="DC27" s="392">
        <v>3001.5419999999999</v>
      </c>
      <c r="DD27" s="392">
        <v>3419.364</v>
      </c>
      <c r="DE27" s="392">
        <v>3149.5860000000002</v>
      </c>
      <c r="DF27" s="392">
        <v>3160.3379999999997</v>
      </c>
      <c r="DG27" s="392">
        <v>3586.5719999999997</v>
      </c>
      <c r="DH27" s="392">
        <v>3933.3539999999998</v>
      </c>
      <c r="DI27" s="392">
        <v>3272.46</v>
      </c>
      <c r="DJ27" s="392">
        <v>4027.326</v>
      </c>
      <c r="DK27" s="392">
        <v>4102.26</v>
      </c>
      <c r="DL27" s="392">
        <v>4682.8679999999995</v>
      </c>
      <c r="DM27" s="392">
        <v>4730.2440000000006</v>
      </c>
      <c r="DN27" s="392">
        <v>4846.116</v>
      </c>
      <c r="DO27" s="392">
        <v>5440.098</v>
      </c>
      <c r="DP27" s="392">
        <v>5835.9120000000003</v>
      </c>
      <c r="DQ27" s="392">
        <v>4901.6039999999994</v>
      </c>
      <c r="DR27" s="392">
        <v>5055.2759999999998</v>
      </c>
      <c r="DS27" s="392">
        <v>6301.8119999999999</v>
      </c>
      <c r="DT27" s="392">
        <v>6749.8860000000004</v>
      </c>
      <c r="DU27" s="392">
        <v>5663.4059999999999</v>
      </c>
      <c r="DV27" s="392">
        <v>6948.7920000000004</v>
      </c>
      <c r="DW27" s="392">
        <v>6814.6139999999996</v>
      </c>
      <c r="DX27" s="392">
        <v>6736.6260000000002</v>
      </c>
      <c r="DY27" s="392">
        <v>6631.8360000000002</v>
      </c>
      <c r="DZ27" s="392">
        <v>5860.8539999999994</v>
      </c>
      <c r="EA27" s="392">
        <v>5894.7179999999998</v>
      </c>
      <c r="EB27" s="392">
        <v>5796.9059999999999</v>
      </c>
      <c r="EC27" s="392">
        <v>4567.1460000000006</v>
      </c>
      <c r="ED27" s="392">
        <v>4231.47</v>
      </c>
      <c r="EE27" s="392">
        <v>4568.5199999999995</v>
      </c>
      <c r="EF27" s="392">
        <v>4655.0640000000003</v>
      </c>
      <c r="EG27" s="392">
        <v>4575.87</v>
      </c>
      <c r="EH27" s="392">
        <v>3430.9739999999997</v>
      </c>
      <c r="EI27" s="392">
        <v>2541.6839999999997</v>
      </c>
      <c r="EJ27" s="392">
        <v>2771.13</v>
      </c>
      <c r="EK27" s="392">
        <v>2683.7219999999998</v>
      </c>
      <c r="EL27" s="392">
        <v>2218.0859999999998</v>
      </c>
      <c r="EM27" s="392">
        <v>2414.9639999999999</v>
      </c>
      <c r="EN27" s="392">
        <v>2764.5720000000001</v>
      </c>
      <c r="EO27" s="392">
        <v>2248.5</v>
      </c>
      <c r="EP27" s="392">
        <v>2273.16</v>
      </c>
      <c r="EQ27" s="392">
        <v>2788.02</v>
      </c>
      <c r="ER27" s="392">
        <v>2402.9700000000003</v>
      </c>
      <c r="ES27" s="392">
        <v>2511.6660000000002</v>
      </c>
      <c r="ET27" s="392">
        <v>2571.078</v>
      </c>
      <c r="EU27" s="392">
        <v>2274.9780000000001</v>
      </c>
      <c r="EV27" s="392">
        <v>2438.3040000000001</v>
      </c>
      <c r="EW27" s="392">
        <v>2215.1880000000001</v>
      </c>
      <c r="EX27" s="392">
        <v>1948.326</v>
      </c>
      <c r="EY27" s="392">
        <v>2247.8579999999997</v>
      </c>
      <c r="EZ27" s="392">
        <v>2362.134</v>
      </c>
      <c r="FA27" s="392">
        <v>1981.9379999999999</v>
      </c>
      <c r="FB27" s="392">
        <v>2108.9700000000003</v>
      </c>
      <c r="FC27" s="392">
        <v>2581.6980000000003</v>
      </c>
      <c r="FD27" s="392">
        <v>2572.8239999999996</v>
      </c>
      <c r="FE27" s="392">
        <v>2253.4319999999998</v>
      </c>
      <c r="FF27" s="392">
        <v>2278.59</v>
      </c>
      <c r="FG27" s="392">
        <v>2193.48</v>
      </c>
      <c r="FH27" s="392">
        <v>2162.0639999999999</v>
      </c>
      <c r="FI27" s="392">
        <v>2076.018</v>
      </c>
      <c r="FJ27" s="392">
        <v>2082.9299999999998</v>
      </c>
      <c r="FK27" s="392">
        <v>2362.2539999999999</v>
      </c>
      <c r="FL27" s="392">
        <v>2442.21</v>
      </c>
      <c r="FM27" s="392">
        <v>2003.6279999999999</v>
      </c>
      <c r="FN27" s="392">
        <v>2125.038</v>
      </c>
      <c r="FO27" s="392">
        <v>2432.616</v>
      </c>
      <c r="FP27" s="392">
        <v>2304.288</v>
      </c>
      <c r="FQ27" s="392">
        <v>2285.6640000000002</v>
      </c>
      <c r="FR27" s="392">
        <v>2378.1660000000002</v>
      </c>
      <c r="FS27" s="392">
        <v>2412.2219999999998</v>
      </c>
      <c r="FT27" s="392">
        <v>2699.8440000000001</v>
      </c>
      <c r="FU27" s="392">
        <v>2307.6959999999999</v>
      </c>
      <c r="FV27" s="392">
        <v>2175.5880000000002</v>
      </c>
      <c r="FW27" s="392">
        <v>2359.0920000000001</v>
      </c>
      <c r="FX27" s="392">
        <v>2456.1179999999999</v>
      </c>
      <c r="FY27" s="392">
        <v>1948.8420000000001</v>
      </c>
      <c r="FZ27" s="392">
        <v>1899.5099999999998</v>
      </c>
      <c r="GA27" s="392">
        <v>1899.1260000000002</v>
      </c>
      <c r="GB27" s="392">
        <v>1754.9879999999998</v>
      </c>
      <c r="GC27" s="392">
        <v>1630.62</v>
      </c>
      <c r="GD27" s="392">
        <v>1718.172</v>
      </c>
      <c r="GE27" s="392">
        <v>1620.2759999999998</v>
      </c>
      <c r="GF27" s="392">
        <v>1491.9119999999998</v>
      </c>
      <c r="GG27" s="392">
        <v>1630.518</v>
      </c>
      <c r="GH27" s="392">
        <v>1680.1860000000001</v>
      </c>
      <c r="GI27" s="392">
        <v>1911.2219999999998</v>
      </c>
      <c r="GJ27" s="392">
        <v>1645.2539999999999</v>
      </c>
      <c r="GK27" s="392">
        <v>1992.42</v>
      </c>
      <c r="GL27" s="392">
        <v>1604.856</v>
      </c>
      <c r="GM27" s="392">
        <v>1834.0500000000002</v>
      </c>
      <c r="GN27" s="392">
        <v>1948.4520000000002</v>
      </c>
      <c r="GO27" s="392">
        <v>1622.5739999999998</v>
      </c>
      <c r="GP27" s="392">
        <v>2152.2060000000001</v>
      </c>
      <c r="GQ27" s="392">
        <v>2115.8940000000002</v>
      </c>
      <c r="GR27" s="392">
        <v>1876.6860000000001</v>
      </c>
      <c r="GS27" s="392">
        <v>1924.98</v>
      </c>
      <c r="GT27" s="392">
        <v>1884.7259999999999</v>
      </c>
      <c r="GU27" s="392">
        <v>2067.1980000000003</v>
      </c>
      <c r="GV27" s="392">
        <v>2271.2400000000002</v>
      </c>
      <c r="GW27" s="392">
        <v>1865.6220000000001</v>
      </c>
      <c r="GX27" s="392">
        <v>2165.886</v>
      </c>
      <c r="GY27" s="392">
        <v>2449.3019999999997</v>
      </c>
      <c r="GZ27" s="392">
        <v>2334.174</v>
      </c>
      <c r="HA27" s="392">
        <v>2211.3000000000002</v>
      </c>
      <c r="HB27" s="392">
        <v>2525.8620000000001</v>
      </c>
      <c r="HC27" s="392">
        <v>2165.922</v>
      </c>
      <c r="HD27" s="392">
        <v>2118.0360000000001</v>
      </c>
      <c r="HE27" s="392">
        <v>2545.3980000000001</v>
      </c>
      <c r="HF27" s="392">
        <v>2436.9360000000001</v>
      </c>
      <c r="HG27" s="392">
        <v>2875.7219999999998</v>
      </c>
      <c r="HH27" s="392">
        <v>2685.6120000000001</v>
      </c>
      <c r="HI27" s="392">
        <v>2331.1680000000001</v>
      </c>
      <c r="HJ27" s="392">
        <v>2609.52</v>
      </c>
      <c r="HK27" s="392">
        <v>2870.82</v>
      </c>
      <c r="HL27" s="392">
        <v>3066.924</v>
      </c>
      <c r="HM27" s="392">
        <v>2684.058</v>
      </c>
      <c r="HN27" s="392">
        <v>2942.4539999999997</v>
      </c>
      <c r="HO27" s="392">
        <v>2625.5219999999999</v>
      </c>
      <c r="HP27" s="444">
        <v>2776.1579999999999</v>
      </c>
      <c r="HQ27" s="444">
        <v>2584.8119999999999</v>
      </c>
      <c r="HR27" s="444">
        <v>2486.1660000000002</v>
      </c>
      <c r="HS27" s="444">
        <v>2661.8940000000002</v>
      </c>
      <c r="HT27" s="444">
        <v>2363.922</v>
      </c>
      <c r="HU27" s="444">
        <v>1850.502</v>
      </c>
      <c r="HV27" s="392">
        <v>2126.19</v>
      </c>
      <c r="HW27" s="392">
        <v>2554.9740000000002</v>
      </c>
      <c r="HX27" s="392">
        <v>2689.152</v>
      </c>
      <c r="HY27" s="392">
        <v>2149.3559999999998</v>
      </c>
      <c r="HZ27" s="392">
        <v>2289.9180000000001</v>
      </c>
      <c r="IA27" s="392">
        <v>2398.7219999999998</v>
      </c>
      <c r="IB27" s="392">
        <v>2356.7939999999999</v>
      </c>
      <c r="IC27" s="392">
        <v>2391.9960000000001</v>
      </c>
      <c r="ID27" s="392">
        <v>2626.422</v>
      </c>
      <c r="IE27" s="392">
        <v>2716.9859999999999</v>
      </c>
      <c r="IF27" s="392">
        <v>2495.1179999999999</v>
      </c>
      <c r="IG27" s="392">
        <v>2063.0700000000002</v>
      </c>
      <c r="IH27" s="392">
        <v>2216.3999999999996</v>
      </c>
      <c r="II27" s="392">
        <v>2605.4700000000003</v>
      </c>
      <c r="IJ27" s="392">
        <v>2965.4520000000002</v>
      </c>
      <c r="IK27" s="392">
        <v>2527.308</v>
      </c>
      <c r="IL27" s="392">
        <v>2654.0099999999998</v>
      </c>
      <c r="IM27" s="392">
        <v>2427.4319999999998</v>
      </c>
      <c r="IN27" s="444">
        <v>2478.3540000000003</v>
      </c>
      <c r="IO27" s="444">
        <v>2699.3820000000001</v>
      </c>
      <c r="IP27" s="444">
        <v>2906.73</v>
      </c>
      <c r="IQ27" s="444">
        <v>2485.1760000000004</v>
      </c>
      <c r="IR27" s="444">
        <v>2716.5240000000003</v>
      </c>
      <c r="IS27" s="444">
        <v>2259.0299999999997</v>
      </c>
      <c r="IT27" s="444">
        <v>2343.1320000000001</v>
      </c>
      <c r="IU27" s="444">
        <v>2704.7759999999998</v>
      </c>
      <c r="IV27" s="444">
        <v>2803.944</v>
      </c>
      <c r="IW27" s="445">
        <v>2580.942</v>
      </c>
      <c r="IX27" s="445">
        <v>2742.538</v>
      </c>
      <c r="IY27" s="445">
        <v>2860.0479999999998</v>
      </c>
      <c r="IZ27" s="445">
        <v>2953.7840000000001</v>
      </c>
      <c r="JA27" s="445">
        <v>2964.08</v>
      </c>
      <c r="JB27" s="445">
        <v>2922.4279999999999</v>
      </c>
      <c r="JC27" s="445">
        <v>2833.442</v>
      </c>
      <c r="JD27" s="445">
        <v>2654.47</v>
      </c>
      <c r="JE27" s="446">
        <v>2602.6640000000002</v>
      </c>
    </row>
    <row r="28" spans="1:265" x14ac:dyDescent="0.3">
      <c r="A28" s="394" t="s">
        <v>179</v>
      </c>
      <c r="B28" s="395">
        <v>13.116</v>
      </c>
      <c r="C28" s="395">
        <v>15.624000000000001</v>
      </c>
      <c r="D28" s="395">
        <v>17.922000000000001</v>
      </c>
      <c r="E28" s="395">
        <v>11.214</v>
      </c>
      <c r="F28" s="395">
        <v>15.51</v>
      </c>
      <c r="G28" s="395">
        <v>10.602</v>
      </c>
      <c r="H28" s="395">
        <v>4.7520000000000007</v>
      </c>
      <c r="I28" s="395">
        <v>13.655999999999999</v>
      </c>
      <c r="J28" s="395">
        <v>10.434000000000001</v>
      </c>
      <c r="K28" s="395">
        <v>7.2060000000000004</v>
      </c>
      <c r="L28" s="395">
        <v>8.1059999999999999</v>
      </c>
      <c r="M28" s="395">
        <v>7.7279999999999998</v>
      </c>
      <c r="N28" s="395">
        <v>5.556</v>
      </c>
      <c r="O28" s="395">
        <v>5.556</v>
      </c>
      <c r="P28" s="395">
        <v>11.574</v>
      </c>
      <c r="Q28" s="395">
        <v>7.3140000000000001</v>
      </c>
      <c r="R28" s="395">
        <v>5.6579999999999995</v>
      </c>
      <c r="S28" s="395">
        <v>12.414</v>
      </c>
      <c r="T28" s="395">
        <v>7.2780000000000005</v>
      </c>
      <c r="U28" s="395">
        <v>8.6159999999999997</v>
      </c>
      <c r="V28" s="395">
        <v>11.214</v>
      </c>
      <c r="W28" s="395">
        <v>11.472</v>
      </c>
      <c r="X28" s="395">
        <v>9.0240000000000009</v>
      </c>
      <c r="Y28" s="395">
        <v>5.79</v>
      </c>
      <c r="Z28" s="395">
        <v>8.3339999999999996</v>
      </c>
      <c r="AA28" s="395">
        <v>7.3140000000000001</v>
      </c>
      <c r="AB28" s="395">
        <v>8.363999999999999</v>
      </c>
      <c r="AC28" s="395">
        <v>9.69</v>
      </c>
      <c r="AD28" s="395">
        <v>15.077999999999999</v>
      </c>
      <c r="AE28" s="395">
        <v>14.568</v>
      </c>
      <c r="AF28" s="395">
        <v>10.134</v>
      </c>
      <c r="AG28" s="395">
        <v>11.64</v>
      </c>
      <c r="AH28" s="395">
        <v>11.658000000000001</v>
      </c>
      <c r="AI28" s="395">
        <v>10.704000000000001</v>
      </c>
      <c r="AJ28" s="395">
        <v>12.995999999999999</v>
      </c>
      <c r="AK28" s="395">
        <v>14.25</v>
      </c>
      <c r="AL28" s="395">
        <v>7.38</v>
      </c>
      <c r="AM28" s="395">
        <v>8.7360000000000007</v>
      </c>
      <c r="AN28" s="395">
        <v>6.4320000000000004</v>
      </c>
      <c r="AO28" s="395">
        <v>26.526000000000003</v>
      </c>
      <c r="AP28" s="395">
        <v>15.558</v>
      </c>
      <c r="AQ28" s="395">
        <v>17.484000000000002</v>
      </c>
      <c r="AR28" s="395">
        <v>40.571999999999996</v>
      </c>
      <c r="AS28" s="395">
        <v>52.805999999999997</v>
      </c>
      <c r="AT28" s="395">
        <v>46.326000000000001</v>
      </c>
      <c r="AU28" s="395">
        <v>12.624000000000001</v>
      </c>
      <c r="AV28" s="395">
        <v>11.862</v>
      </c>
      <c r="AW28" s="395">
        <v>12.809999999999999</v>
      </c>
      <c r="AX28" s="395">
        <v>15.93</v>
      </c>
      <c r="AY28" s="395">
        <v>24.455999999999996</v>
      </c>
      <c r="AZ28" s="395">
        <v>22.902000000000001</v>
      </c>
      <c r="BA28" s="395">
        <v>25.031999999999996</v>
      </c>
      <c r="BB28" s="395">
        <v>19.236000000000001</v>
      </c>
      <c r="BC28" s="395">
        <v>18.282</v>
      </c>
      <c r="BD28" s="395">
        <v>10.565999999999999</v>
      </c>
      <c r="BE28" s="395">
        <v>17.538</v>
      </c>
      <c r="BF28" s="395">
        <v>12.347999999999999</v>
      </c>
      <c r="BG28" s="395">
        <v>11.388</v>
      </c>
      <c r="BH28" s="395">
        <v>15.03</v>
      </c>
      <c r="BI28" s="395">
        <v>12.594000000000001</v>
      </c>
      <c r="BJ28" s="395">
        <v>7.9619999999999997</v>
      </c>
      <c r="BK28" s="395">
        <v>10.212</v>
      </c>
      <c r="BL28" s="395">
        <v>15.936</v>
      </c>
      <c r="BM28" s="395">
        <v>9.57</v>
      </c>
      <c r="BN28" s="395">
        <v>8.9700000000000006</v>
      </c>
      <c r="BO28" s="395">
        <v>11.52</v>
      </c>
      <c r="BP28" s="395">
        <v>10.517999999999999</v>
      </c>
      <c r="BQ28" s="395">
        <v>11.088000000000001</v>
      </c>
      <c r="BR28" s="395">
        <v>11.694000000000001</v>
      </c>
      <c r="BS28" s="395">
        <v>8.411999999999999</v>
      </c>
      <c r="BT28" s="395">
        <v>14.268000000000001</v>
      </c>
      <c r="BU28" s="395">
        <v>10.391999999999999</v>
      </c>
      <c r="BV28" s="395">
        <v>16.295999999999999</v>
      </c>
      <c r="BW28" s="395">
        <v>13.14</v>
      </c>
      <c r="BX28" s="395">
        <v>10.44</v>
      </c>
      <c r="BY28" s="395">
        <v>10.98</v>
      </c>
      <c r="BZ28" s="395">
        <v>10.199999999999999</v>
      </c>
      <c r="CA28" s="395">
        <v>21.155999999999999</v>
      </c>
      <c r="CB28" s="395">
        <v>21.78</v>
      </c>
      <c r="CC28" s="395">
        <v>12.059999999999999</v>
      </c>
      <c r="CD28" s="395">
        <v>15.03</v>
      </c>
      <c r="CE28" s="395">
        <v>13.625999999999999</v>
      </c>
      <c r="CF28" s="395">
        <v>22.398</v>
      </c>
      <c r="CG28" s="395">
        <v>11.334</v>
      </c>
      <c r="CH28" s="395">
        <v>18.36</v>
      </c>
      <c r="CI28" s="395">
        <v>28.410000000000004</v>
      </c>
      <c r="CJ28" s="395">
        <v>23.19</v>
      </c>
      <c r="CK28" s="395">
        <v>28.392000000000003</v>
      </c>
      <c r="CL28" s="395">
        <v>33.269999999999996</v>
      </c>
      <c r="CM28" s="395">
        <v>33.588000000000001</v>
      </c>
      <c r="CN28" s="395">
        <v>34.548000000000002</v>
      </c>
      <c r="CO28" s="395">
        <v>38.04</v>
      </c>
      <c r="CP28" s="395">
        <v>48.936000000000007</v>
      </c>
      <c r="CQ28" s="395">
        <v>39.167999999999999</v>
      </c>
      <c r="CR28" s="395">
        <v>29.178000000000004</v>
      </c>
      <c r="CS28" s="395">
        <v>25.740000000000002</v>
      </c>
      <c r="CT28" s="395">
        <v>34.571999999999996</v>
      </c>
      <c r="CU28" s="395">
        <v>24.353999999999999</v>
      </c>
      <c r="CV28" s="395">
        <v>22.71</v>
      </c>
      <c r="CW28" s="395">
        <v>12.78</v>
      </c>
      <c r="CX28" s="395">
        <v>20.892000000000003</v>
      </c>
      <c r="CY28" s="395">
        <v>22.56</v>
      </c>
      <c r="CZ28" s="395">
        <v>20.838000000000001</v>
      </c>
      <c r="DA28" s="395">
        <v>21.905999999999999</v>
      </c>
      <c r="DB28" s="395">
        <v>27.137999999999998</v>
      </c>
      <c r="DC28" s="395">
        <v>36.786000000000001</v>
      </c>
      <c r="DD28" s="395">
        <v>42.983999999999995</v>
      </c>
      <c r="DE28" s="395">
        <v>192.42000000000002</v>
      </c>
      <c r="DF28" s="395">
        <v>161.85000000000002</v>
      </c>
      <c r="DG28" s="395">
        <v>154.512</v>
      </c>
      <c r="DH28" s="395">
        <v>54.305999999999997</v>
      </c>
      <c r="DI28" s="395">
        <v>42.57</v>
      </c>
      <c r="DJ28" s="395">
        <v>43.698</v>
      </c>
      <c r="DK28" s="395">
        <v>46.037999999999997</v>
      </c>
      <c r="DL28" s="395">
        <v>34.835999999999999</v>
      </c>
      <c r="DM28" s="395">
        <v>37.29</v>
      </c>
      <c r="DN28" s="395">
        <v>31.374000000000002</v>
      </c>
      <c r="DO28" s="395">
        <v>34.253999999999998</v>
      </c>
      <c r="DP28" s="395">
        <v>42.965999999999994</v>
      </c>
      <c r="DQ28" s="395">
        <v>24.48</v>
      </c>
      <c r="DR28" s="395">
        <v>15.725999999999999</v>
      </c>
      <c r="DS28" s="395">
        <v>16.122</v>
      </c>
      <c r="DT28" s="395">
        <v>20.190000000000001</v>
      </c>
      <c r="DU28" s="395">
        <v>9.5040000000000013</v>
      </c>
      <c r="DV28" s="395">
        <v>17.477999999999998</v>
      </c>
      <c r="DW28" s="395">
        <v>17.88</v>
      </c>
      <c r="DX28" s="395">
        <v>14.73</v>
      </c>
      <c r="DY28" s="395">
        <v>58.655999999999999</v>
      </c>
      <c r="DZ28" s="395">
        <v>89.61</v>
      </c>
      <c r="EA28" s="395">
        <v>74.975999999999999</v>
      </c>
      <c r="EB28" s="395">
        <v>34.932000000000002</v>
      </c>
      <c r="EC28" s="395">
        <v>19.134</v>
      </c>
      <c r="ED28" s="395">
        <v>21.408000000000001</v>
      </c>
      <c r="EE28" s="395">
        <v>20.454000000000001</v>
      </c>
      <c r="EF28" s="395">
        <v>44.682000000000002</v>
      </c>
      <c r="EG28" s="395">
        <v>36.725999999999999</v>
      </c>
      <c r="EH28" s="395">
        <v>37.055999999999997</v>
      </c>
      <c r="EI28" s="395">
        <v>25.596</v>
      </c>
      <c r="EJ28" s="395">
        <v>25.632000000000001</v>
      </c>
      <c r="EK28" s="395">
        <v>25.08</v>
      </c>
      <c r="EL28" s="395">
        <v>21.347999999999999</v>
      </c>
      <c r="EM28" s="395">
        <v>25.044000000000004</v>
      </c>
      <c r="EN28" s="395">
        <v>52.320000000000007</v>
      </c>
      <c r="EO28" s="395">
        <v>78</v>
      </c>
      <c r="EP28" s="395">
        <v>80.706000000000003</v>
      </c>
      <c r="EQ28" s="395">
        <v>40.884</v>
      </c>
      <c r="ER28" s="395">
        <v>45.564</v>
      </c>
      <c r="ES28" s="395">
        <v>34.74</v>
      </c>
      <c r="ET28" s="395">
        <v>31.991999999999997</v>
      </c>
      <c r="EU28" s="395">
        <v>32.963999999999999</v>
      </c>
      <c r="EV28" s="395">
        <v>34.362000000000002</v>
      </c>
      <c r="EW28" s="395">
        <v>30.576000000000001</v>
      </c>
      <c r="EX28" s="395">
        <v>25.571999999999996</v>
      </c>
      <c r="EY28" s="395">
        <v>34.295999999999999</v>
      </c>
      <c r="EZ28" s="395">
        <v>43.632000000000005</v>
      </c>
      <c r="FA28" s="395">
        <v>26.700000000000003</v>
      </c>
      <c r="FB28" s="395">
        <v>34.68</v>
      </c>
      <c r="FC28" s="395">
        <v>50.742000000000004</v>
      </c>
      <c r="FD28" s="395">
        <v>60.851999999999997</v>
      </c>
      <c r="FE28" s="395">
        <v>344.96999999999997</v>
      </c>
      <c r="FF28" s="395">
        <v>409.01400000000001</v>
      </c>
      <c r="FG28" s="395">
        <v>382.76400000000001</v>
      </c>
      <c r="FH28" s="395">
        <v>373.36199999999997</v>
      </c>
      <c r="FI28" s="395">
        <v>415.08000000000004</v>
      </c>
      <c r="FJ28" s="395">
        <v>424.5</v>
      </c>
      <c r="FK28" s="395">
        <v>455.01</v>
      </c>
      <c r="FL28" s="395">
        <v>413.11200000000002</v>
      </c>
      <c r="FM28" s="395">
        <v>129.95400000000001</v>
      </c>
      <c r="FN28" s="395">
        <v>120.102</v>
      </c>
      <c r="FO28" s="395">
        <v>119.49</v>
      </c>
      <c r="FP28" s="395">
        <v>122.244</v>
      </c>
      <c r="FQ28" s="395">
        <v>123.34199999999998</v>
      </c>
      <c r="FR28" s="395">
        <v>204.85200000000003</v>
      </c>
      <c r="FS28" s="395">
        <v>186.11399999999998</v>
      </c>
      <c r="FT28" s="395">
        <v>167.37</v>
      </c>
      <c r="FU28" s="395">
        <v>140.328</v>
      </c>
      <c r="FV28" s="395">
        <v>141.13200000000001</v>
      </c>
      <c r="FW28" s="395">
        <v>166.566</v>
      </c>
      <c r="FX28" s="395">
        <v>196.32599999999996</v>
      </c>
      <c r="FY28" s="395">
        <v>172.53</v>
      </c>
      <c r="FZ28" s="395">
        <v>136.23599999999999</v>
      </c>
      <c r="GA28" s="395">
        <v>111.834</v>
      </c>
      <c r="GB28" s="395">
        <v>139.92000000000002</v>
      </c>
      <c r="GC28" s="395">
        <v>181.542</v>
      </c>
      <c r="GD28" s="395">
        <v>136.05000000000001</v>
      </c>
      <c r="GE28" s="395">
        <v>107.376</v>
      </c>
      <c r="GF28" s="395">
        <v>144.744</v>
      </c>
      <c r="GG28" s="395">
        <v>161.952</v>
      </c>
      <c r="GH28" s="395">
        <v>143.994</v>
      </c>
      <c r="GI28" s="395">
        <v>133.24799999999999</v>
      </c>
      <c r="GJ28" s="395">
        <v>187.75200000000001</v>
      </c>
      <c r="GK28" s="395">
        <v>188.904</v>
      </c>
      <c r="GL28" s="395">
        <v>192.63</v>
      </c>
      <c r="GM28" s="395">
        <v>200.988</v>
      </c>
      <c r="GN28" s="395">
        <v>199.00200000000001</v>
      </c>
      <c r="GO28" s="395">
        <v>170.01</v>
      </c>
      <c r="GP28" s="395">
        <v>205.42200000000003</v>
      </c>
      <c r="GQ28" s="395">
        <v>222.63600000000002</v>
      </c>
      <c r="GR28" s="395">
        <v>233.67599999999999</v>
      </c>
      <c r="GS28" s="395">
        <v>240.32999999999998</v>
      </c>
      <c r="GT28" s="395">
        <v>231.18599999999998</v>
      </c>
      <c r="GU28" s="395">
        <v>254.232</v>
      </c>
      <c r="GV28" s="395">
        <v>269.03399999999999</v>
      </c>
      <c r="GW28" s="395">
        <v>255.32999999999998</v>
      </c>
      <c r="GX28" s="395">
        <v>277.16399999999999</v>
      </c>
      <c r="GY28" s="395">
        <v>262.75200000000001</v>
      </c>
      <c r="GZ28" s="395">
        <v>268.99799999999999</v>
      </c>
      <c r="HA28" s="395">
        <v>204.03000000000003</v>
      </c>
      <c r="HB28" s="395">
        <v>219.12</v>
      </c>
      <c r="HC28" s="395">
        <v>213.43200000000002</v>
      </c>
      <c r="HD28" s="395">
        <v>199.81799999999998</v>
      </c>
      <c r="HE28" s="395">
        <v>186.846</v>
      </c>
      <c r="HF28" s="395">
        <v>186.32399999999998</v>
      </c>
      <c r="HG28" s="395">
        <v>220.97399999999999</v>
      </c>
      <c r="HH28" s="395">
        <v>207.13800000000003</v>
      </c>
      <c r="HI28" s="395">
        <v>183.816</v>
      </c>
      <c r="HJ28" s="395">
        <v>207.096</v>
      </c>
      <c r="HK28" s="395">
        <v>192.35399999999998</v>
      </c>
      <c r="HL28" s="395">
        <v>224.262</v>
      </c>
      <c r="HM28" s="395">
        <v>210.42599999999999</v>
      </c>
      <c r="HN28" s="395">
        <v>180.90600000000001</v>
      </c>
      <c r="HO28" s="395">
        <v>135.43199999999999</v>
      </c>
      <c r="HP28" s="395">
        <v>165.27</v>
      </c>
      <c r="HQ28" s="395">
        <v>236.59200000000001</v>
      </c>
      <c r="HR28" s="395">
        <v>187.548</v>
      </c>
      <c r="HS28" s="395">
        <v>244.66200000000001</v>
      </c>
      <c r="HT28" s="395">
        <v>260.64600000000002</v>
      </c>
      <c r="HU28" s="395">
        <v>204.23400000000001</v>
      </c>
      <c r="HV28" s="395">
        <v>167.83199999999999</v>
      </c>
      <c r="HW28" s="395">
        <v>172.61399999999998</v>
      </c>
      <c r="HX28" s="395">
        <v>191.256</v>
      </c>
      <c r="HY28" s="395">
        <v>170.44800000000001</v>
      </c>
      <c r="HZ28" s="395">
        <v>193.68599999999998</v>
      </c>
      <c r="IA28" s="395">
        <v>251.57400000000001</v>
      </c>
      <c r="IB28" s="395">
        <v>162.29399999999998</v>
      </c>
      <c r="IC28" s="395">
        <v>154.05000000000001</v>
      </c>
      <c r="ID28" s="395">
        <v>155.934</v>
      </c>
      <c r="IE28" s="395">
        <v>176.892</v>
      </c>
      <c r="IF28" s="395">
        <v>165.15600000000001</v>
      </c>
      <c r="IG28" s="395">
        <v>110.31</v>
      </c>
      <c r="IH28" s="395">
        <v>157.05599999999998</v>
      </c>
      <c r="II28" s="395">
        <v>182.91</v>
      </c>
      <c r="IJ28" s="395">
        <v>168.58799999999999</v>
      </c>
      <c r="IK28" s="395">
        <v>150.46200000000002</v>
      </c>
      <c r="IL28" s="395">
        <v>136.524</v>
      </c>
      <c r="IM28" s="395">
        <v>106.93199999999999</v>
      </c>
      <c r="IN28" s="15">
        <v>121.07399999999998</v>
      </c>
      <c r="IO28" s="15">
        <v>131.56200000000001</v>
      </c>
      <c r="IP28" s="15">
        <v>156.51599999999999</v>
      </c>
      <c r="IQ28" s="15">
        <v>172.95</v>
      </c>
      <c r="IR28" s="15">
        <v>176.922</v>
      </c>
      <c r="IS28" s="15">
        <v>166.63200000000001</v>
      </c>
      <c r="IT28" s="15">
        <v>187.89000000000001</v>
      </c>
      <c r="IU28" s="15">
        <v>207.27600000000001</v>
      </c>
      <c r="IV28" s="15">
        <v>251.67599999999999</v>
      </c>
      <c r="IW28" s="15">
        <v>328.40199999999999</v>
      </c>
      <c r="IX28" s="15">
        <v>338.61200000000002</v>
      </c>
      <c r="IY28" s="15">
        <v>328.80599999999998</v>
      </c>
      <c r="IZ28" s="15">
        <v>388.91800000000001</v>
      </c>
      <c r="JA28" s="15">
        <v>385.14800000000002</v>
      </c>
      <c r="JB28" s="15">
        <v>368.084</v>
      </c>
      <c r="JC28" s="15">
        <v>331.84</v>
      </c>
      <c r="JD28" s="15">
        <v>364.28</v>
      </c>
      <c r="JE28" s="447">
        <v>407.83800000000002</v>
      </c>
    </row>
    <row r="29" spans="1:265" x14ac:dyDescent="0.3">
      <c r="A29" s="394" t="s">
        <v>180</v>
      </c>
      <c r="B29" s="392">
        <v>158.74799999999999</v>
      </c>
      <c r="C29" s="392">
        <v>192</v>
      </c>
      <c r="D29" s="392">
        <v>194.86199999999997</v>
      </c>
      <c r="E29" s="392">
        <v>163.84800000000001</v>
      </c>
      <c r="F29" s="392">
        <v>199.518</v>
      </c>
      <c r="G29" s="392">
        <v>248.82599999999996</v>
      </c>
      <c r="H29" s="392">
        <v>220.07400000000001</v>
      </c>
      <c r="I29" s="392">
        <v>244.22399999999999</v>
      </c>
      <c r="J29" s="392">
        <v>253.20600000000002</v>
      </c>
      <c r="K29" s="392">
        <v>230.74200000000002</v>
      </c>
      <c r="L29" s="392">
        <v>259.72799999999995</v>
      </c>
      <c r="M29" s="392">
        <v>213.22199999999998</v>
      </c>
      <c r="N29" s="392">
        <v>259.06200000000001</v>
      </c>
      <c r="O29" s="392">
        <v>267.43200000000002</v>
      </c>
      <c r="P29" s="392">
        <v>222.726</v>
      </c>
      <c r="Q29" s="392">
        <v>76.98599999999999</v>
      </c>
      <c r="R29" s="392">
        <v>85.35</v>
      </c>
      <c r="S29" s="392">
        <v>73.59</v>
      </c>
      <c r="T29" s="392">
        <v>63.503999999999998</v>
      </c>
      <c r="U29" s="392">
        <v>57.378</v>
      </c>
      <c r="V29" s="392">
        <v>67.86</v>
      </c>
      <c r="W29" s="392">
        <v>85.818000000000012</v>
      </c>
      <c r="X29" s="392">
        <v>99.707999999999998</v>
      </c>
      <c r="Y29" s="392">
        <v>79.757999999999996</v>
      </c>
      <c r="Z29" s="392">
        <v>72.492000000000004</v>
      </c>
      <c r="AA29" s="392">
        <v>81.635999999999996</v>
      </c>
      <c r="AB29" s="392">
        <v>78.635999999999996</v>
      </c>
      <c r="AC29" s="392">
        <v>70.56</v>
      </c>
      <c r="AD29" s="392">
        <v>84.51</v>
      </c>
      <c r="AE29" s="392">
        <v>65.153999999999996</v>
      </c>
      <c r="AF29" s="392">
        <v>76.506</v>
      </c>
      <c r="AG29" s="392">
        <v>78.75</v>
      </c>
      <c r="AH29" s="392">
        <v>93.402000000000001</v>
      </c>
      <c r="AI29" s="392">
        <v>74.664000000000001</v>
      </c>
      <c r="AJ29" s="392">
        <v>73.902000000000001</v>
      </c>
      <c r="AK29" s="392">
        <v>67.248000000000005</v>
      </c>
      <c r="AL29" s="392">
        <v>65.64</v>
      </c>
      <c r="AM29" s="392">
        <v>45.186</v>
      </c>
      <c r="AN29" s="392">
        <v>64.248000000000005</v>
      </c>
      <c r="AO29" s="392">
        <v>65.262</v>
      </c>
      <c r="AP29" s="392">
        <v>77.460000000000008</v>
      </c>
      <c r="AQ29" s="392">
        <v>77.262</v>
      </c>
      <c r="AR29" s="392">
        <v>88.65</v>
      </c>
      <c r="AS29" s="392">
        <v>71.51400000000001</v>
      </c>
      <c r="AT29" s="392">
        <v>96.744</v>
      </c>
      <c r="AU29" s="392">
        <v>91.253999999999991</v>
      </c>
      <c r="AV29" s="392">
        <v>103.33799999999999</v>
      </c>
      <c r="AW29" s="392">
        <v>100.27199999999999</v>
      </c>
      <c r="AX29" s="392">
        <v>89.418000000000006</v>
      </c>
      <c r="AY29" s="392">
        <v>93.474000000000004</v>
      </c>
      <c r="AZ29" s="392">
        <v>82.949999999999989</v>
      </c>
      <c r="BA29" s="392">
        <v>81.462000000000003</v>
      </c>
      <c r="BB29" s="392">
        <v>104.36399999999999</v>
      </c>
      <c r="BC29" s="392">
        <v>96.311999999999998</v>
      </c>
      <c r="BD29" s="392">
        <v>107.898</v>
      </c>
      <c r="BE29" s="392">
        <v>113.562</v>
      </c>
      <c r="BF29" s="392">
        <v>115.512</v>
      </c>
      <c r="BG29" s="392">
        <v>127.71600000000001</v>
      </c>
      <c r="BH29" s="392">
        <v>135.66</v>
      </c>
      <c r="BI29" s="392">
        <v>94.061999999999998</v>
      </c>
      <c r="BJ29" s="392">
        <v>86.784000000000006</v>
      </c>
      <c r="BK29" s="392">
        <v>122.238</v>
      </c>
      <c r="BL29" s="392">
        <v>111.312</v>
      </c>
      <c r="BM29" s="392">
        <v>96.984000000000009</v>
      </c>
      <c r="BN29" s="392">
        <v>104.85000000000001</v>
      </c>
      <c r="BO29" s="392">
        <v>116.22</v>
      </c>
      <c r="BP29" s="392">
        <v>145.93799999999999</v>
      </c>
      <c r="BQ29" s="392">
        <v>135.22199999999998</v>
      </c>
      <c r="BR29" s="392">
        <v>144.51</v>
      </c>
      <c r="BS29" s="392">
        <v>186.60000000000002</v>
      </c>
      <c r="BT29" s="392">
        <v>188.50799999999998</v>
      </c>
      <c r="BU29" s="392">
        <v>156.24</v>
      </c>
      <c r="BV29" s="392">
        <v>145.64999999999998</v>
      </c>
      <c r="BW29" s="392">
        <v>159.744</v>
      </c>
      <c r="BX29" s="392">
        <v>163.608</v>
      </c>
      <c r="BY29" s="392">
        <v>161.75399999999999</v>
      </c>
      <c r="BZ29" s="392">
        <v>196.25400000000002</v>
      </c>
      <c r="CA29" s="392">
        <v>218.39999999999998</v>
      </c>
      <c r="CB29" s="392">
        <v>214.35000000000002</v>
      </c>
      <c r="CC29" s="392">
        <v>193.19399999999999</v>
      </c>
      <c r="CD29" s="392">
        <v>200.31600000000003</v>
      </c>
      <c r="CE29" s="392">
        <v>211.18799999999999</v>
      </c>
      <c r="CF29" s="392">
        <v>219.95400000000001</v>
      </c>
      <c r="CG29" s="392">
        <v>173.988</v>
      </c>
      <c r="CH29" s="392">
        <v>197.56200000000001</v>
      </c>
      <c r="CI29" s="392">
        <v>194.904</v>
      </c>
      <c r="CJ29" s="392">
        <v>219.666</v>
      </c>
      <c r="CK29" s="392">
        <v>256.87800000000004</v>
      </c>
      <c r="CL29" s="392">
        <v>271.11</v>
      </c>
      <c r="CM29" s="392">
        <v>264.20400000000001</v>
      </c>
      <c r="CN29" s="392">
        <v>242.196</v>
      </c>
      <c r="CO29" s="392">
        <v>215.17200000000003</v>
      </c>
      <c r="CP29" s="392">
        <v>242.86199999999997</v>
      </c>
      <c r="CQ29" s="392">
        <v>265.06200000000001</v>
      </c>
      <c r="CR29" s="392">
        <v>241.11599999999999</v>
      </c>
      <c r="CS29" s="392">
        <v>199.86</v>
      </c>
      <c r="CT29" s="392">
        <v>224.37</v>
      </c>
      <c r="CU29" s="392">
        <v>221.39400000000001</v>
      </c>
      <c r="CV29" s="392">
        <v>244.518</v>
      </c>
      <c r="CW29" s="392">
        <v>242.53800000000001</v>
      </c>
      <c r="CX29" s="392">
        <v>258.99</v>
      </c>
      <c r="CY29" s="392">
        <v>226.84200000000001</v>
      </c>
      <c r="CZ29" s="392">
        <v>203.58599999999998</v>
      </c>
      <c r="DA29" s="392">
        <v>186.19800000000001</v>
      </c>
      <c r="DB29" s="392">
        <v>186.98400000000001</v>
      </c>
      <c r="DC29" s="392">
        <v>197.196</v>
      </c>
      <c r="DD29" s="392">
        <v>206.89799999999997</v>
      </c>
      <c r="DE29" s="392">
        <v>174.54599999999999</v>
      </c>
      <c r="DF29" s="392">
        <v>216.51</v>
      </c>
      <c r="DG29" s="392">
        <v>244.98600000000002</v>
      </c>
      <c r="DH29" s="392">
        <v>233.60399999999998</v>
      </c>
      <c r="DI29" s="392">
        <v>210.012</v>
      </c>
      <c r="DJ29" s="392">
        <v>255.49200000000002</v>
      </c>
      <c r="DK29" s="392">
        <v>278.346</v>
      </c>
      <c r="DL29" s="392">
        <v>282.024</v>
      </c>
      <c r="DM29" s="392">
        <v>277.14600000000002</v>
      </c>
      <c r="DN29" s="392">
        <v>276.00599999999997</v>
      </c>
      <c r="DO29" s="392">
        <v>232.87800000000001</v>
      </c>
      <c r="DP29" s="392">
        <v>240.53399999999999</v>
      </c>
      <c r="DQ29" s="392">
        <v>211.91400000000002</v>
      </c>
      <c r="DR29" s="392">
        <v>212.07599999999996</v>
      </c>
      <c r="DS29" s="392">
        <v>220.72199999999998</v>
      </c>
      <c r="DT29" s="392">
        <v>244.596</v>
      </c>
      <c r="DU29" s="392">
        <v>229.98</v>
      </c>
      <c r="DV29" s="392">
        <v>228.37199999999999</v>
      </c>
      <c r="DW29" s="392">
        <v>259.60200000000003</v>
      </c>
      <c r="DX29" s="392">
        <v>269.84399999999999</v>
      </c>
      <c r="DY29" s="392">
        <v>331.86</v>
      </c>
      <c r="DZ29" s="392">
        <v>361.45800000000003</v>
      </c>
      <c r="EA29" s="392">
        <v>395.97</v>
      </c>
      <c r="EB29" s="392">
        <v>409.56599999999997</v>
      </c>
      <c r="EC29" s="392">
        <v>345.14400000000001</v>
      </c>
      <c r="ED29" s="392">
        <v>339.786</v>
      </c>
      <c r="EE29" s="392">
        <v>353.29199999999997</v>
      </c>
      <c r="EF29" s="392">
        <v>384.21600000000001</v>
      </c>
      <c r="EG29" s="392">
        <v>370.75200000000001</v>
      </c>
      <c r="EH29" s="392">
        <v>393.14400000000001</v>
      </c>
      <c r="EI29" s="392">
        <v>354.31799999999998</v>
      </c>
      <c r="EJ29" s="392">
        <v>313.27800000000002</v>
      </c>
      <c r="EK29" s="392">
        <v>306.56400000000002</v>
      </c>
      <c r="EL29" s="392">
        <v>348.80399999999997</v>
      </c>
      <c r="EM29" s="392">
        <v>356.70600000000002</v>
      </c>
      <c r="EN29" s="392">
        <v>384.97200000000004</v>
      </c>
      <c r="EO29" s="392">
        <v>277.584</v>
      </c>
      <c r="EP29" s="392">
        <v>335.23199999999997</v>
      </c>
      <c r="EQ29" s="392">
        <v>324.14400000000001</v>
      </c>
      <c r="ER29" s="392">
        <v>393.11400000000003</v>
      </c>
      <c r="ES29" s="392">
        <v>380.42400000000004</v>
      </c>
      <c r="ET29" s="392">
        <v>375.846</v>
      </c>
      <c r="EU29" s="392">
        <v>357.54599999999999</v>
      </c>
      <c r="EV29" s="392">
        <v>345.85200000000003</v>
      </c>
      <c r="EW29" s="392">
        <v>347.07</v>
      </c>
      <c r="EX29" s="392">
        <v>376.17599999999999</v>
      </c>
      <c r="EY29" s="392">
        <v>375.86399999999998</v>
      </c>
      <c r="EZ29" s="392">
        <v>382.59000000000003</v>
      </c>
      <c r="FA29" s="392">
        <v>290.05799999999999</v>
      </c>
      <c r="FB29" s="392">
        <v>314.904</v>
      </c>
      <c r="FC29" s="392">
        <v>304.80600000000004</v>
      </c>
      <c r="FD29" s="392">
        <v>317.334</v>
      </c>
      <c r="FE29" s="392">
        <v>305.67599999999999</v>
      </c>
      <c r="FF29" s="392">
        <v>298.03800000000001</v>
      </c>
      <c r="FG29" s="392">
        <v>297.16800000000001</v>
      </c>
      <c r="FH29" s="392">
        <v>353.34000000000003</v>
      </c>
      <c r="FI29" s="392">
        <v>316.69799999999998</v>
      </c>
      <c r="FJ29" s="392">
        <v>284.83799999999997</v>
      </c>
      <c r="FK29" s="392">
        <v>298.68</v>
      </c>
      <c r="FL29" s="392">
        <v>284.86199999999997</v>
      </c>
      <c r="FM29" s="392">
        <v>218.31</v>
      </c>
      <c r="FN29" s="392">
        <v>209.21999999999997</v>
      </c>
      <c r="FO29" s="392">
        <v>207.74400000000003</v>
      </c>
      <c r="FP29" s="392">
        <v>224.86199999999997</v>
      </c>
      <c r="FQ29" s="392">
        <v>220.86599999999999</v>
      </c>
      <c r="FR29" s="392">
        <v>185.358</v>
      </c>
      <c r="FS29" s="392">
        <v>173.85000000000002</v>
      </c>
      <c r="FT29" s="392">
        <v>160.30799999999999</v>
      </c>
      <c r="FU29" s="392">
        <v>166.8</v>
      </c>
      <c r="FV29" s="392">
        <v>172.71600000000001</v>
      </c>
      <c r="FW29" s="392">
        <v>172.84800000000001</v>
      </c>
      <c r="FX29" s="392">
        <v>185.82599999999999</v>
      </c>
      <c r="FY29" s="392">
        <v>155.44200000000001</v>
      </c>
      <c r="FZ29" s="392">
        <v>147.30599999999998</v>
      </c>
      <c r="GA29" s="392">
        <v>180.27</v>
      </c>
      <c r="GB29" s="392">
        <v>198.71999999999997</v>
      </c>
      <c r="GC29" s="392">
        <v>225.696</v>
      </c>
      <c r="GD29" s="392">
        <v>234.54000000000002</v>
      </c>
      <c r="GE29" s="392">
        <v>284.15999999999997</v>
      </c>
      <c r="GF29" s="392">
        <v>253.548</v>
      </c>
      <c r="GG29" s="392">
        <v>271.93200000000002</v>
      </c>
      <c r="GH29" s="392">
        <v>280.464</v>
      </c>
      <c r="GI29" s="392">
        <v>288.702</v>
      </c>
      <c r="GJ29" s="392">
        <v>315.62400000000002</v>
      </c>
      <c r="GK29" s="392">
        <v>272.52600000000001</v>
      </c>
      <c r="GL29" s="392">
        <v>296.92200000000003</v>
      </c>
      <c r="GM29" s="392">
        <v>304.26</v>
      </c>
      <c r="GN29" s="392">
        <v>331.43399999999997</v>
      </c>
      <c r="GO29" s="392">
        <v>218.946</v>
      </c>
      <c r="GP29" s="392">
        <v>304.27200000000005</v>
      </c>
      <c r="GQ29" s="392">
        <v>264.93599999999998</v>
      </c>
      <c r="GR29" s="392">
        <v>205.49400000000003</v>
      </c>
      <c r="GS29" s="392">
        <v>213.82799999999997</v>
      </c>
      <c r="GT29" s="392">
        <v>203.65199999999999</v>
      </c>
      <c r="GU29" s="392">
        <v>336.91800000000001</v>
      </c>
      <c r="GV29" s="392">
        <v>370.488</v>
      </c>
      <c r="GW29" s="392">
        <v>258.36</v>
      </c>
      <c r="GX29" s="392">
        <v>222.42599999999999</v>
      </c>
      <c r="GY29" s="392">
        <v>265.93799999999999</v>
      </c>
      <c r="GZ29" s="392">
        <v>274.00200000000001</v>
      </c>
      <c r="HA29" s="392">
        <v>235.41</v>
      </c>
      <c r="HB29" s="392">
        <v>310.86599999999999</v>
      </c>
      <c r="HC29" s="392">
        <v>275.964</v>
      </c>
      <c r="HD29" s="392">
        <v>268.548</v>
      </c>
      <c r="HE29" s="392">
        <v>327.78000000000003</v>
      </c>
      <c r="HF29" s="392">
        <v>366.12599999999998</v>
      </c>
      <c r="HG29" s="392">
        <v>375.43799999999999</v>
      </c>
      <c r="HH29" s="392">
        <v>325.30200000000002</v>
      </c>
      <c r="HI29" s="392">
        <v>225.28199999999998</v>
      </c>
      <c r="HJ29" s="392">
        <v>274.90800000000002</v>
      </c>
      <c r="HK29" s="392">
        <v>234.45000000000002</v>
      </c>
      <c r="HL29" s="392">
        <v>206.10599999999999</v>
      </c>
      <c r="HM29" s="392">
        <v>201.86399999999998</v>
      </c>
      <c r="HN29" s="392">
        <v>240.29399999999998</v>
      </c>
      <c r="HO29" s="392">
        <v>242.49</v>
      </c>
      <c r="HP29" s="444">
        <v>291.05399999999997</v>
      </c>
      <c r="HQ29" s="444">
        <v>253.512</v>
      </c>
      <c r="HR29" s="444">
        <v>234.58199999999999</v>
      </c>
      <c r="HS29" s="444">
        <v>257.59800000000001</v>
      </c>
      <c r="HT29" s="444">
        <v>250.38600000000002</v>
      </c>
      <c r="HU29" s="444">
        <v>193.488</v>
      </c>
      <c r="HV29" s="392">
        <v>229.476</v>
      </c>
      <c r="HW29" s="392">
        <v>262.79399999999998</v>
      </c>
      <c r="HX29" s="392">
        <v>269.988</v>
      </c>
      <c r="HY29" s="392">
        <v>236.358</v>
      </c>
      <c r="HZ29" s="392">
        <v>182.958</v>
      </c>
      <c r="IA29" s="392">
        <v>214.23</v>
      </c>
      <c r="IB29" s="392">
        <v>220.09200000000001</v>
      </c>
      <c r="IC29" s="392">
        <v>216.14400000000001</v>
      </c>
      <c r="ID29" s="392">
        <v>214.30800000000002</v>
      </c>
      <c r="IE29" s="392">
        <v>217.33199999999999</v>
      </c>
      <c r="IF29" s="392">
        <v>201.37800000000001</v>
      </c>
      <c r="IG29" s="392">
        <v>172.84800000000001</v>
      </c>
      <c r="IH29" s="392">
        <v>173.49600000000001</v>
      </c>
      <c r="II29" s="392">
        <v>200.77200000000002</v>
      </c>
      <c r="IJ29" s="392">
        <v>237.762</v>
      </c>
      <c r="IK29" s="392">
        <v>235.38600000000002</v>
      </c>
      <c r="IL29" s="392">
        <v>246.74400000000003</v>
      </c>
      <c r="IM29" s="392">
        <v>232.446</v>
      </c>
      <c r="IN29" s="444">
        <v>249.44399999999999</v>
      </c>
      <c r="IO29" s="444">
        <v>242.38800000000003</v>
      </c>
      <c r="IP29" s="444">
        <v>283.99799999999999</v>
      </c>
      <c r="IQ29" s="444">
        <v>306.37800000000004</v>
      </c>
      <c r="IR29" s="444">
        <v>313.488</v>
      </c>
      <c r="IS29" s="444">
        <v>233.64600000000002</v>
      </c>
      <c r="IT29" s="444">
        <v>248.10599999999999</v>
      </c>
      <c r="IU29" s="444">
        <v>274.464</v>
      </c>
      <c r="IV29" s="444">
        <v>294.81600000000003</v>
      </c>
      <c r="IW29" s="445">
        <v>209.726</v>
      </c>
      <c r="IX29" s="445">
        <v>203.714</v>
      </c>
      <c r="IY29" s="445">
        <v>228.72200000000001</v>
      </c>
      <c r="IZ29" s="445">
        <v>230.17400000000001</v>
      </c>
      <c r="JA29" s="445">
        <v>555.84</v>
      </c>
      <c r="JB29" s="445">
        <v>301.37599999999998</v>
      </c>
      <c r="JC29" s="445">
        <v>247.37200000000001</v>
      </c>
      <c r="JD29" s="445">
        <v>254.99799999999999</v>
      </c>
      <c r="JE29" s="446">
        <v>256.42599999999999</v>
      </c>
    </row>
    <row r="30" spans="1:265" x14ac:dyDescent="0.3">
      <c r="A30" s="394" t="s">
        <v>86</v>
      </c>
      <c r="B30" s="395">
        <v>698.26199999999994</v>
      </c>
      <c r="C30" s="395">
        <v>683.46600000000001</v>
      </c>
      <c r="D30" s="395">
        <v>722.91</v>
      </c>
      <c r="E30" s="395">
        <v>692.23199999999997</v>
      </c>
      <c r="F30" s="395">
        <v>705.22799999999995</v>
      </c>
      <c r="G30" s="395">
        <v>715.68600000000004</v>
      </c>
      <c r="H30" s="395">
        <v>777.08400000000006</v>
      </c>
      <c r="I30" s="395">
        <v>744.37800000000004</v>
      </c>
      <c r="J30" s="395">
        <v>694.29</v>
      </c>
      <c r="K30" s="395">
        <v>678.86400000000003</v>
      </c>
      <c r="L30" s="395">
        <v>669.70799999999997</v>
      </c>
      <c r="M30" s="395">
        <v>594.51599999999996</v>
      </c>
      <c r="N30" s="395">
        <v>641.7059999999999</v>
      </c>
      <c r="O30" s="395">
        <v>511.64400000000001</v>
      </c>
      <c r="P30" s="395">
        <v>689.43600000000004</v>
      </c>
      <c r="Q30" s="395">
        <v>619.06200000000001</v>
      </c>
      <c r="R30" s="395">
        <v>704.68799999999999</v>
      </c>
      <c r="S30" s="395">
        <v>676.74599999999998</v>
      </c>
      <c r="T30" s="395">
        <v>645.68399999999997</v>
      </c>
      <c r="U30" s="395">
        <v>725.322</v>
      </c>
      <c r="V30" s="395">
        <v>724.86</v>
      </c>
      <c r="W30" s="395">
        <v>806.86800000000005</v>
      </c>
      <c r="X30" s="395">
        <v>825.82799999999997</v>
      </c>
      <c r="Y30" s="395">
        <v>877.15800000000013</v>
      </c>
      <c r="Z30" s="395">
        <v>860.68200000000002</v>
      </c>
      <c r="AA30" s="395">
        <v>828.92399999999998</v>
      </c>
      <c r="AB30" s="395">
        <v>861.93000000000006</v>
      </c>
      <c r="AC30" s="395">
        <v>871.08600000000001</v>
      </c>
      <c r="AD30" s="395">
        <v>896.14200000000005</v>
      </c>
      <c r="AE30" s="395">
        <v>939.73200000000008</v>
      </c>
      <c r="AF30" s="395">
        <v>827.96399999999994</v>
      </c>
      <c r="AG30" s="395">
        <v>886.74</v>
      </c>
      <c r="AH30" s="395">
        <v>884.78399999999999</v>
      </c>
      <c r="AI30" s="395">
        <v>836.73599999999988</v>
      </c>
      <c r="AJ30" s="395">
        <v>692.74199999999996</v>
      </c>
      <c r="AK30" s="395">
        <v>571.06200000000001</v>
      </c>
      <c r="AL30" s="395">
        <v>621.37199999999996</v>
      </c>
      <c r="AM30" s="395">
        <v>617.44799999999998</v>
      </c>
      <c r="AN30" s="395">
        <v>629.67599999999993</v>
      </c>
      <c r="AO30" s="395">
        <v>594.43200000000002</v>
      </c>
      <c r="AP30" s="395">
        <v>666.24599999999998</v>
      </c>
      <c r="AQ30" s="395">
        <v>675.10199999999998</v>
      </c>
      <c r="AR30" s="395">
        <v>731.81399999999996</v>
      </c>
      <c r="AS30" s="395">
        <v>923.77199999999993</v>
      </c>
      <c r="AT30" s="395">
        <v>862.63199999999995</v>
      </c>
      <c r="AU30" s="395">
        <v>950.7059999999999</v>
      </c>
      <c r="AV30" s="395">
        <v>989.35199999999998</v>
      </c>
      <c r="AW30" s="395">
        <v>840.59399999999994</v>
      </c>
      <c r="AX30" s="395">
        <v>815.81999999999994</v>
      </c>
      <c r="AY30" s="395">
        <v>880.09799999999996</v>
      </c>
      <c r="AZ30" s="395">
        <v>943.45799999999997</v>
      </c>
      <c r="BA30" s="395">
        <v>861.13799999999992</v>
      </c>
      <c r="BB30" s="395">
        <v>957.83999999999992</v>
      </c>
      <c r="BC30" s="395">
        <v>885.92399999999998</v>
      </c>
      <c r="BD30" s="395">
        <v>1065.444</v>
      </c>
      <c r="BE30" s="395">
        <v>1114.068</v>
      </c>
      <c r="BF30" s="395">
        <v>1084.548</v>
      </c>
      <c r="BG30" s="395">
        <v>1410.258</v>
      </c>
      <c r="BH30" s="395">
        <v>1259.058</v>
      </c>
      <c r="BI30" s="395">
        <v>1160.3700000000001</v>
      </c>
      <c r="BJ30" s="395">
        <v>1262.9580000000001</v>
      </c>
      <c r="BK30" s="395">
        <v>1157.1179999999999</v>
      </c>
      <c r="BL30" s="395">
        <v>1254.6480000000001</v>
      </c>
      <c r="BM30" s="395">
        <v>1167.93</v>
      </c>
      <c r="BN30" s="395">
        <v>1143.6659999999999</v>
      </c>
      <c r="BO30" s="395">
        <v>1277.4000000000001</v>
      </c>
      <c r="BP30" s="395">
        <v>1278.9659999999999</v>
      </c>
      <c r="BQ30" s="395">
        <v>1365.204</v>
      </c>
      <c r="BR30" s="395">
        <v>1420.7640000000001</v>
      </c>
      <c r="BS30" s="395">
        <v>1517.49</v>
      </c>
      <c r="BT30" s="395">
        <v>1627.9499999999998</v>
      </c>
      <c r="BU30" s="395">
        <v>1503.5219999999999</v>
      </c>
      <c r="BV30" s="395">
        <v>1576.3139999999999</v>
      </c>
      <c r="BW30" s="395">
        <v>1607.3040000000001</v>
      </c>
      <c r="BX30" s="395">
        <v>1759.3920000000003</v>
      </c>
      <c r="BY30" s="395">
        <v>1486.3320000000001</v>
      </c>
      <c r="BZ30" s="395">
        <v>1505.4780000000001</v>
      </c>
      <c r="CA30" s="395">
        <v>1338.1379999999999</v>
      </c>
      <c r="CB30" s="395">
        <v>1323.96</v>
      </c>
      <c r="CC30" s="395">
        <v>1481.7240000000002</v>
      </c>
      <c r="CD30" s="395">
        <v>1359.7919999999999</v>
      </c>
      <c r="CE30" s="395">
        <v>1518.9</v>
      </c>
      <c r="CF30" s="395">
        <v>1503.954</v>
      </c>
      <c r="CG30" s="395">
        <v>1268.52</v>
      </c>
      <c r="CH30" s="395">
        <v>1270.77</v>
      </c>
      <c r="CI30" s="395">
        <v>1370.472</v>
      </c>
      <c r="CJ30" s="395">
        <v>1467.09</v>
      </c>
      <c r="CK30" s="395">
        <v>1418.934</v>
      </c>
      <c r="CL30" s="395">
        <v>1479.6420000000001</v>
      </c>
      <c r="CM30" s="395">
        <v>1447.6320000000001</v>
      </c>
      <c r="CN30" s="395">
        <v>1529.694</v>
      </c>
      <c r="CO30" s="395">
        <v>943.05599999999993</v>
      </c>
      <c r="CP30" s="395">
        <v>1193.4360000000001</v>
      </c>
      <c r="CQ30" s="395">
        <v>1257.672</v>
      </c>
      <c r="CR30" s="395">
        <v>1118.598</v>
      </c>
      <c r="CS30" s="395">
        <v>996.13199999999995</v>
      </c>
      <c r="CT30" s="395">
        <v>687.31200000000001</v>
      </c>
      <c r="CU30" s="395">
        <v>473.44200000000001</v>
      </c>
      <c r="CV30" s="395">
        <v>532.63799999999992</v>
      </c>
      <c r="CW30" s="395">
        <v>523.63799999999992</v>
      </c>
      <c r="CX30" s="395">
        <v>617.02200000000005</v>
      </c>
      <c r="CY30" s="395">
        <v>638.05200000000002</v>
      </c>
      <c r="CZ30" s="395">
        <v>612.90599999999995</v>
      </c>
      <c r="DA30" s="395">
        <v>598.39800000000002</v>
      </c>
      <c r="DB30" s="395">
        <v>626.56200000000001</v>
      </c>
      <c r="DC30" s="395">
        <v>660.32400000000007</v>
      </c>
      <c r="DD30" s="395">
        <v>634.65000000000009</v>
      </c>
      <c r="DE30" s="395">
        <v>701.84400000000005</v>
      </c>
      <c r="DF30" s="395">
        <v>766.548</v>
      </c>
      <c r="DG30" s="395">
        <v>883.572</v>
      </c>
      <c r="DH30" s="395">
        <v>1061.904</v>
      </c>
      <c r="DI30" s="395">
        <v>1091.646</v>
      </c>
      <c r="DJ30" s="395">
        <v>1146.9839999999999</v>
      </c>
      <c r="DK30" s="395">
        <v>1100.4960000000001</v>
      </c>
      <c r="DL30" s="395">
        <v>1123.3920000000001</v>
      </c>
      <c r="DM30" s="395">
        <v>1067.616</v>
      </c>
      <c r="DN30" s="395">
        <v>1085.4179999999999</v>
      </c>
      <c r="DO30" s="395">
        <v>1032.864</v>
      </c>
      <c r="DP30" s="395">
        <v>955.15200000000004</v>
      </c>
      <c r="DQ30" s="395">
        <v>993.98399999999992</v>
      </c>
      <c r="DR30" s="395">
        <v>837.654</v>
      </c>
      <c r="DS30" s="395">
        <v>788.17200000000003</v>
      </c>
      <c r="DT30" s="395">
        <v>1334.1179999999999</v>
      </c>
      <c r="DU30" s="395">
        <v>1208.616</v>
      </c>
      <c r="DV30" s="395">
        <v>1220.3340000000001</v>
      </c>
      <c r="DW30" s="395">
        <v>1247.0940000000001</v>
      </c>
      <c r="DX30" s="395">
        <v>1212.8220000000001</v>
      </c>
      <c r="DY30" s="395">
        <v>1299.5520000000001</v>
      </c>
      <c r="DZ30" s="395">
        <v>1237.164</v>
      </c>
      <c r="EA30" s="395">
        <v>1364.0639999999999</v>
      </c>
      <c r="EB30" s="395">
        <v>1501.8419999999999</v>
      </c>
      <c r="EC30" s="395">
        <v>1421.5740000000001</v>
      </c>
      <c r="ED30" s="395">
        <v>1525.4760000000001</v>
      </c>
      <c r="EE30" s="395">
        <v>1517.1179999999999</v>
      </c>
      <c r="EF30" s="395">
        <v>1546.296</v>
      </c>
      <c r="EG30" s="395">
        <v>1607.4119999999998</v>
      </c>
      <c r="EH30" s="395">
        <v>1569.4740000000002</v>
      </c>
      <c r="EI30" s="395">
        <v>1528.566</v>
      </c>
      <c r="EJ30" s="395">
        <v>1620.1860000000001</v>
      </c>
      <c r="EK30" s="395">
        <v>1665.8579999999997</v>
      </c>
      <c r="EL30" s="395">
        <v>1559.2979999999998</v>
      </c>
      <c r="EM30" s="395">
        <v>1393.1399999999999</v>
      </c>
      <c r="EN30" s="395">
        <v>1205.4780000000001</v>
      </c>
      <c r="EO30" s="395">
        <v>1121.0219999999999</v>
      </c>
      <c r="EP30" s="395">
        <v>1085.2560000000001</v>
      </c>
      <c r="EQ30" s="395">
        <v>1157.1600000000001</v>
      </c>
      <c r="ER30" s="395">
        <v>1308.5520000000001</v>
      </c>
      <c r="ES30" s="395">
        <v>1171.2840000000001</v>
      </c>
      <c r="ET30" s="395">
        <v>1258.17</v>
      </c>
      <c r="EU30" s="395">
        <v>1202.508</v>
      </c>
      <c r="EV30" s="395">
        <v>1272.6299999999999</v>
      </c>
      <c r="EW30" s="395">
        <v>1232.73</v>
      </c>
      <c r="EX30" s="395">
        <v>1110.528</v>
      </c>
      <c r="EY30" s="395">
        <v>1208.268</v>
      </c>
      <c r="EZ30" s="395">
        <v>1092.2940000000001</v>
      </c>
      <c r="FA30" s="395">
        <v>1140.9839999999999</v>
      </c>
      <c r="FB30" s="395">
        <v>1118.3820000000001</v>
      </c>
      <c r="FC30" s="395">
        <v>1192.8600000000001</v>
      </c>
      <c r="FD30" s="395">
        <v>1314.096</v>
      </c>
      <c r="FE30" s="395">
        <v>1105.5239999999999</v>
      </c>
      <c r="FF30" s="395">
        <v>1172.904</v>
      </c>
      <c r="FG30" s="395">
        <v>1028.9279999999999</v>
      </c>
      <c r="FH30" s="395">
        <v>1054.0740000000001</v>
      </c>
      <c r="FI30" s="395">
        <v>1229.7660000000001</v>
      </c>
      <c r="FJ30" s="395">
        <v>1193.8980000000001</v>
      </c>
      <c r="FK30" s="395">
        <v>1241.6999999999998</v>
      </c>
      <c r="FL30" s="395">
        <v>1293.0060000000001</v>
      </c>
      <c r="FM30" s="395">
        <v>1226.6279999999999</v>
      </c>
      <c r="FN30" s="395">
        <v>1228.4639999999999</v>
      </c>
      <c r="FO30" s="395">
        <v>1085.454</v>
      </c>
      <c r="FP30" s="395">
        <v>1156.6019999999999</v>
      </c>
      <c r="FQ30" s="395">
        <v>1109.886</v>
      </c>
      <c r="FR30" s="395">
        <v>1174.4279999999999</v>
      </c>
      <c r="FS30" s="395">
        <v>1031.9639999999999</v>
      </c>
      <c r="FT30" s="395">
        <v>1199.5440000000001</v>
      </c>
      <c r="FU30" s="395">
        <v>1095.81</v>
      </c>
      <c r="FV30" s="395">
        <v>1021.8419999999999</v>
      </c>
      <c r="FW30" s="395">
        <v>1081.3020000000001</v>
      </c>
      <c r="FX30" s="395">
        <v>985.87799999999993</v>
      </c>
      <c r="FY30" s="395">
        <v>975.90600000000006</v>
      </c>
      <c r="FZ30" s="395">
        <v>1050.5880000000002</v>
      </c>
      <c r="GA30" s="395">
        <v>987.50400000000002</v>
      </c>
      <c r="GB30" s="395">
        <v>1006.5120000000001</v>
      </c>
      <c r="GC30" s="395">
        <v>886.03199999999993</v>
      </c>
      <c r="GD30" s="395">
        <v>973.33800000000008</v>
      </c>
      <c r="GE30" s="395">
        <v>934.38599999999997</v>
      </c>
      <c r="GF30" s="395">
        <v>956.92200000000003</v>
      </c>
      <c r="GG30" s="395">
        <v>986.23200000000008</v>
      </c>
      <c r="GH30" s="395">
        <v>888.57600000000002</v>
      </c>
      <c r="GI30" s="395">
        <v>1022.0520000000001</v>
      </c>
      <c r="GJ30" s="395">
        <v>961.0619999999999</v>
      </c>
      <c r="GK30" s="395">
        <v>1037.6279999999999</v>
      </c>
      <c r="GL30" s="395">
        <v>1090.7940000000001</v>
      </c>
      <c r="GM30" s="395">
        <v>992.82600000000002</v>
      </c>
      <c r="GN30" s="395">
        <v>1154.2379999999998</v>
      </c>
      <c r="GO30" s="395">
        <v>1162.56</v>
      </c>
      <c r="GP30" s="395">
        <v>1111.68</v>
      </c>
      <c r="GQ30" s="395">
        <v>1169.3879999999999</v>
      </c>
      <c r="GR30" s="395">
        <v>1258.0319999999999</v>
      </c>
      <c r="GS30" s="395">
        <v>1332.4680000000001</v>
      </c>
      <c r="GT30" s="395">
        <v>1348.7159999999999</v>
      </c>
      <c r="GU30" s="395">
        <v>1467.9059999999999</v>
      </c>
      <c r="GV30" s="395">
        <v>1414.4279999999999</v>
      </c>
      <c r="GW30" s="395">
        <v>1249.4879999999998</v>
      </c>
      <c r="GX30" s="395">
        <v>1285.0140000000001</v>
      </c>
      <c r="GY30" s="395">
        <v>1254.252</v>
      </c>
      <c r="GZ30" s="395">
        <v>1330.248</v>
      </c>
      <c r="HA30" s="395">
        <v>1214.5440000000001</v>
      </c>
      <c r="HB30" s="395">
        <v>1265.0880000000002</v>
      </c>
      <c r="HC30" s="395">
        <v>1279.6320000000001</v>
      </c>
      <c r="HD30" s="395">
        <v>1370.82</v>
      </c>
      <c r="HE30" s="395">
        <v>1361.58</v>
      </c>
      <c r="HF30" s="395">
        <v>1279.0140000000001</v>
      </c>
      <c r="HG30" s="395">
        <v>1334.6580000000001</v>
      </c>
      <c r="HH30" s="395">
        <v>1257.18</v>
      </c>
      <c r="HI30" s="395">
        <v>1303.818</v>
      </c>
      <c r="HJ30" s="395">
        <v>1365.798</v>
      </c>
      <c r="HK30" s="395">
        <v>1376.46</v>
      </c>
      <c r="HL30" s="395">
        <v>1455.42</v>
      </c>
      <c r="HM30" s="395">
        <v>1602.5039999999999</v>
      </c>
      <c r="HN30" s="395">
        <v>1514.1</v>
      </c>
      <c r="HO30" s="395">
        <v>1451.9939999999999</v>
      </c>
      <c r="HP30" s="395">
        <v>1541.37</v>
      </c>
      <c r="HQ30" s="395">
        <v>1530.5639999999999</v>
      </c>
      <c r="HR30" s="395">
        <v>1239.78</v>
      </c>
      <c r="HS30" s="395">
        <v>1557.018</v>
      </c>
      <c r="HT30" s="395">
        <v>1537.8720000000001</v>
      </c>
      <c r="HU30" s="395">
        <v>1331.184</v>
      </c>
      <c r="HV30" s="395">
        <v>1207.0919999999999</v>
      </c>
      <c r="HW30" s="395">
        <v>1299.7080000000001</v>
      </c>
      <c r="HX30" s="395">
        <v>1373.9279999999999</v>
      </c>
      <c r="HY30" s="395">
        <v>1326.81</v>
      </c>
      <c r="HZ30" s="395">
        <v>1434.8579999999999</v>
      </c>
      <c r="IA30" s="395">
        <v>1299.4080000000001</v>
      </c>
      <c r="IB30" s="395">
        <v>1317.288</v>
      </c>
      <c r="IC30" s="395">
        <v>1373.5740000000001</v>
      </c>
      <c r="ID30" s="395">
        <v>1270.6079999999999</v>
      </c>
      <c r="IE30" s="395">
        <v>1271.97</v>
      </c>
      <c r="IF30" s="395">
        <v>1351.8899999999999</v>
      </c>
      <c r="IG30" s="395">
        <v>1269.5820000000001</v>
      </c>
      <c r="IH30" s="395">
        <v>1339.296</v>
      </c>
      <c r="II30" s="395">
        <v>1240.194</v>
      </c>
      <c r="IJ30" s="395">
        <v>1388.232</v>
      </c>
      <c r="IK30" s="395">
        <v>1160.9279999999999</v>
      </c>
      <c r="IL30" s="395">
        <v>1419.48</v>
      </c>
      <c r="IM30" s="395">
        <v>1237.644</v>
      </c>
      <c r="IN30" s="15">
        <v>1280.8920000000001</v>
      </c>
      <c r="IO30" s="15">
        <v>1361.922</v>
      </c>
      <c r="IP30" s="15">
        <v>1468.4159999999999</v>
      </c>
      <c r="IQ30" s="15">
        <v>1540.2840000000001</v>
      </c>
      <c r="IR30" s="15">
        <v>1593.6000000000001</v>
      </c>
      <c r="IS30" s="15">
        <v>1483.674</v>
      </c>
      <c r="IT30" s="15">
        <v>1333.2359999999999</v>
      </c>
      <c r="IU30" s="15">
        <v>1292.376</v>
      </c>
      <c r="IV30" s="15">
        <v>1378.902</v>
      </c>
      <c r="IW30" s="15">
        <v>1514.106</v>
      </c>
      <c r="IX30" s="15">
        <v>1659.558</v>
      </c>
      <c r="IY30" s="15">
        <v>1398.098</v>
      </c>
      <c r="IZ30" s="15">
        <v>1235.018</v>
      </c>
      <c r="JA30" s="15">
        <v>1093.4059999999999</v>
      </c>
      <c r="JB30" s="15">
        <v>1061.242</v>
      </c>
      <c r="JC30" s="15">
        <v>1081.6199999999999</v>
      </c>
      <c r="JD30" s="15">
        <v>1094.742</v>
      </c>
      <c r="JE30" s="447">
        <v>1150.8219999999999</v>
      </c>
    </row>
    <row r="31" spans="1:265" x14ac:dyDescent="0.3">
      <c r="A31" s="394" t="s">
        <v>181</v>
      </c>
      <c r="B31" s="392">
        <v>355.33199999999999</v>
      </c>
      <c r="C31" s="392">
        <v>314.31600000000003</v>
      </c>
      <c r="D31" s="392">
        <v>352.93200000000002</v>
      </c>
      <c r="E31" s="392">
        <v>368.19</v>
      </c>
      <c r="F31" s="392">
        <v>409.04400000000004</v>
      </c>
      <c r="G31" s="392">
        <v>505.32600000000002</v>
      </c>
      <c r="H31" s="392">
        <v>406.02</v>
      </c>
      <c r="I31" s="392">
        <v>406.26</v>
      </c>
      <c r="J31" s="392">
        <v>368.65800000000002</v>
      </c>
      <c r="K31" s="392">
        <v>418.84800000000007</v>
      </c>
      <c r="L31" s="392">
        <v>666.75600000000009</v>
      </c>
      <c r="M31" s="392">
        <v>574.68600000000004</v>
      </c>
      <c r="N31" s="392">
        <v>668.18399999999997</v>
      </c>
      <c r="O31" s="392">
        <v>568.572</v>
      </c>
      <c r="P31" s="392">
        <v>459.72</v>
      </c>
      <c r="Q31" s="392">
        <v>375.69</v>
      </c>
      <c r="R31" s="392">
        <v>514.27200000000005</v>
      </c>
      <c r="S31" s="392">
        <v>420.73800000000006</v>
      </c>
      <c r="T31" s="392">
        <v>586.77600000000007</v>
      </c>
      <c r="U31" s="392">
        <v>535.08600000000001</v>
      </c>
      <c r="V31" s="392">
        <v>401.51400000000001</v>
      </c>
      <c r="W31" s="392">
        <v>551.11200000000008</v>
      </c>
      <c r="X31" s="392">
        <v>550.49399999999991</v>
      </c>
      <c r="Y31" s="392">
        <v>469.08000000000004</v>
      </c>
      <c r="Z31" s="392">
        <v>394.58399999999995</v>
      </c>
      <c r="AA31" s="392">
        <v>402.024</v>
      </c>
      <c r="AB31" s="392">
        <v>463.65599999999995</v>
      </c>
      <c r="AC31" s="392">
        <v>422.74199999999996</v>
      </c>
      <c r="AD31" s="392">
        <v>524.35799999999995</v>
      </c>
      <c r="AE31" s="392">
        <v>522.35400000000004</v>
      </c>
      <c r="AF31" s="392">
        <v>516.81000000000006</v>
      </c>
      <c r="AG31" s="392">
        <v>472.81799999999998</v>
      </c>
      <c r="AH31" s="392">
        <v>471.858</v>
      </c>
      <c r="AI31" s="392">
        <v>452.70599999999996</v>
      </c>
      <c r="AJ31" s="392">
        <v>589.10400000000004</v>
      </c>
      <c r="AK31" s="392">
        <v>560.17200000000003</v>
      </c>
      <c r="AL31" s="392">
        <v>548.01599999999996</v>
      </c>
      <c r="AM31" s="392">
        <v>492.59400000000005</v>
      </c>
      <c r="AN31" s="392">
        <v>531.32400000000007</v>
      </c>
      <c r="AO31" s="392">
        <v>796.03800000000001</v>
      </c>
      <c r="AP31" s="392">
        <v>892.35599999999999</v>
      </c>
      <c r="AQ31" s="392">
        <v>578.30399999999997</v>
      </c>
      <c r="AR31" s="392">
        <v>634.66200000000003</v>
      </c>
      <c r="AS31" s="392">
        <v>904.02599999999995</v>
      </c>
      <c r="AT31" s="392">
        <v>737.88</v>
      </c>
      <c r="AU31" s="392">
        <v>655.70400000000006</v>
      </c>
      <c r="AV31" s="392">
        <v>764.20799999999997</v>
      </c>
      <c r="AW31" s="392">
        <v>665.84999999999991</v>
      </c>
      <c r="AX31" s="392">
        <v>894.75</v>
      </c>
      <c r="AY31" s="392">
        <v>817.80599999999993</v>
      </c>
      <c r="AZ31" s="392">
        <v>920.07600000000002</v>
      </c>
      <c r="BA31" s="392">
        <v>920.21399999999994</v>
      </c>
      <c r="BB31" s="392">
        <v>951.34799999999996</v>
      </c>
      <c r="BC31" s="392">
        <v>917.38799999999992</v>
      </c>
      <c r="BD31" s="392">
        <v>946.5</v>
      </c>
      <c r="BE31" s="392">
        <v>878.83800000000008</v>
      </c>
      <c r="BF31" s="392">
        <v>876.64800000000002</v>
      </c>
      <c r="BG31" s="392">
        <v>894.54600000000005</v>
      </c>
      <c r="BH31" s="392">
        <v>918.12599999999998</v>
      </c>
      <c r="BI31" s="392">
        <v>781.33200000000011</v>
      </c>
      <c r="BJ31" s="392">
        <v>724.87800000000004</v>
      </c>
      <c r="BK31" s="392">
        <v>704.05799999999999</v>
      </c>
      <c r="BL31" s="392">
        <v>896.01</v>
      </c>
      <c r="BM31" s="392">
        <v>801.64800000000002</v>
      </c>
      <c r="BN31" s="392">
        <v>856.17599999999993</v>
      </c>
      <c r="BO31" s="392">
        <v>890.64</v>
      </c>
      <c r="BP31" s="392">
        <v>1112.508</v>
      </c>
      <c r="BQ31" s="392">
        <v>1075.818</v>
      </c>
      <c r="BR31" s="392">
        <v>1157.394</v>
      </c>
      <c r="BS31" s="392">
        <v>1331.376</v>
      </c>
      <c r="BT31" s="392">
        <v>1180.104</v>
      </c>
      <c r="BU31" s="392">
        <v>1078.0319999999999</v>
      </c>
      <c r="BV31" s="392">
        <v>1267.5239999999999</v>
      </c>
      <c r="BW31" s="392">
        <v>1164.954</v>
      </c>
      <c r="BX31" s="392">
        <v>1115.2620000000002</v>
      </c>
      <c r="BY31" s="392">
        <v>1140.3000000000002</v>
      </c>
      <c r="BZ31" s="392">
        <v>1218.0720000000001</v>
      </c>
      <c r="CA31" s="392">
        <v>1221.8820000000001</v>
      </c>
      <c r="CB31" s="392">
        <v>1342.77</v>
      </c>
      <c r="CC31" s="392">
        <v>1377.9960000000001</v>
      </c>
      <c r="CD31" s="392">
        <v>1311.414</v>
      </c>
      <c r="CE31" s="392">
        <v>1578.5639999999999</v>
      </c>
      <c r="CF31" s="392">
        <v>1453.65</v>
      </c>
      <c r="CG31" s="392">
        <v>1530.384</v>
      </c>
      <c r="CH31" s="392">
        <v>1458.672</v>
      </c>
      <c r="CI31" s="392">
        <v>1523.1420000000001</v>
      </c>
      <c r="CJ31" s="392">
        <v>1534.2719999999999</v>
      </c>
      <c r="CK31" s="392">
        <v>1438.548</v>
      </c>
      <c r="CL31" s="392">
        <v>1463.124</v>
      </c>
      <c r="CM31" s="392">
        <v>1696.5</v>
      </c>
      <c r="CN31" s="392">
        <v>1567.7159999999999</v>
      </c>
      <c r="CO31" s="392">
        <v>1703.1239999999998</v>
      </c>
      <c r="CP31" s="392">
        <v>1664.7780000000002</v>
      </c>
      <c r="CQ31" s="392">
        <v>1896.96</v>
      </c>
      <c r="CR31" s="392">
        <v>1702.614</v>
      </c>
      <c r="CS31" s="392">
        <v>1897.2539999999999</v>
      </c>
      <c r="CT31" s="392">
        <v>1158.354</v>
      </c>
      <c r="CU31" s="392">
        <v>1074.384</v>
      </c>
      <c r="CV31" s="392">
        <v>919.51200000000006</v>
      </c>
      <c r="CW31" s="392">
        <v>875.27399999999989</v>
      </c>
      <c r="CX31" s="392">
        <v>769.48799999999994</v>
      </c>
      <c r="CY31" s="392">
        <v>678.21</v>
      </c>
      <c r="CZ31" s="392">
        <v>643.5</v>
      </c>
      <c r="DA31" s="392">
        <v>534.24</v>
      </c>
      <c r="DB31" s="392">
        <v>543.18600000000004</v>
      </c>
      <c r="DC31" s="392">
        <v>558.50400000000002</v>
      </c>
      <c r="DD31" s="392">
        <v>605.76</v>
      </c>
      <c r="DE31" s="392">
        <v>549.19799999999998</v>
      </c>
      <c r="DF31" s="392">
        <v>479.63399999999996</v>
      </c>
      <c r="DG31" s="392">
        <v>505.78800000000001</v>
      </c>
      <c r="DH31" s="392">
        <v>591.23400000000004</v>
      </c>
      <c r="DI31" s="392">
        <v>633.69600000000003</v>
      </c>
      <c r="DJ31" s="392">
        <v>672.46800000000007</v>
      </c>
      <c r="DK31" s="392">
        <v>666.54599999999994</v>
      </c>
      <c r="DL31" s="392">
        <v>746.21399999999994</v>
      </c>
      <c r="DM31" s="392">
        <v>746.01599999999996</v>
      </c>
      <c r="DN31" s="392">
        <v>860.37599999999998</v>
      </c>
      <c r="DO31" s="392">
        <v>946.71600000000001</v>
      </c>
      <c r="DP31" s="392">
        <v>987.22199999999998</v>
      </c>
      <c r="DQ31" s="392">
        <v>1090.884</v>
      </c>
      <c r="DR31" s="392">
        <v>1013.172</v>
      </c>
      <c r="DS31" s="392">
        <v>1012.788</v>
      </c>
      <c r="DT31" s="392">
        <v>1003.278</v>
      </c>
      <c r="DU31" s="392">
        <v>1024.3679999999999</v>
      </c>
      <c r="DV31" s="392">
        <v>1345.1759999999999</v>
      </c>
      <c r="DW31" s="392">
        <v>1199.2860000000001</v>
      </c>
      <c r="DX31" s="392">
        <v>1125.81</v>
      </c>
      <c r="DY31" s="392">
        <v>1291.758</v>
      </c>
      <c r="DZ31" s="392">
        <v>1450.614</v>
      </c>
      <c r="EA31" s="392">
        <v>1492.5720000000001</v>
      </c>
      <c r="EB31" s="392">
        <v>1407.9479999999999</v>
      </c>
      <c r="EC31" s="392">
        <v>1630.818</v>
      </c>
      <c r="ED31" s="392">
        <v>1614.5519999999999</v>
      </c>
      <c r="EE31" s="392">
        <v>1757.508</v>
      </c>
      <c r="EF31" s="392">
        <v>1749.558</v>
      </c>
      <c r="EG31" s="392">
        <v>1831.5720000000001</v>
      </c>
      <c r="EH31" s="392">
        <v>2012.16</v>
      </c>
      <c r="EI31" s="392">
        <v>1963.7280000000001</v>
      </c>
      <c r="EJ31" s="392">
        <v>2094.9839999999999</v>
      </c>
      <c r="EK31" s="392">
        <v>2140.7640000000001</v>
      </c>
      <c r="EL31" s="392">
        <v>2086.1999999999998</v>
      </c>
      <c r="EM31" s="392">
        <v>2268.8519999999999</v>
      </c>
      <c r="EN31" s="392">
        <v>2256.0839999999998</v>
      </c>
      <c r="EO31" s="392">
        <v>2024.7240000000002</v>
      </c>
      <c r="EP31" s="392">
        <v>1951.0320000000002</v>
      </c>
      <c r="EQ31" s="392">
        <v>1406.0520000000001</v>
      </c>
      <c r="ER31" s="392">
        <v>1437.1320000000001</v>
      </c>
      <c r="ES31" s="392">
        <v>1393.848</v>
      </c>
      <c r="ET31" s="392">
        <v>1394.808</v>
      </c>
      <c r="EU31" s="392">
        <v>1295.028</v>
      </c>
      <c r="EV31" s="392">
        <v>1075.404</v>
      </c>
      <c r="EW31" s="392">
        <v>1020.3119999999999</v>
      </c>
      <c r="EX31" s="392">
        <v>814.30799999999999</v>
      </c>
      <c r="EY31" s="392">
        <v>870.58800000000008</v>
      </c>
      <c r="EZ31" s="392">
        <v>804.39599999999996</v>
      </c>
      <c r="FA31" s="392">
        <v>759.64800000000002</v>
      </c>
      <c r="FB31" s="392">
        <v>814.29600000000005</v>
      </c>
      <c r="FC31" s="392">
        <v>823.428</v>
      </c>
      <c r="FD31" s="392">
        <v>843.01799999999992</v>
      </c>
      <c r="FE31" s="392">
        <v>850.05000000000007</v>
      </c>
      <c r="FF31" s="392">
        <v>938.38799999999992</v>
      </c>
      <c r="FG31" s="392">
        <v>950.53199999999993</v>
      </c>
      <c r="FH31" s="392">
        <v>907.90800000000013</v>
      </c>
      <c r="FI31" s="392">
        <v>766.17599999999993</v>
      </c>
      <c r="FJ31" s="392">
        <v>588.15599999999995</v>
      </c>
      <c r="FK31" s="392">
        <v>656.02800000000002</v>
      </c>
      <c r="FL31" s="392">
        <v>767.13599999999997</v>
      </c>
      <c r="FM31" s="392">
        <v>655.75199999999995</v>
      </c>
      <c r="FN31" s="392">
        <v>586.71600000000001</v>
      </c>
      <c r="FO31" s="392">
        <v>610.96199999999999</v>
      </c>
      <c r="FP31" s="392">
        <v>607.46399999999994</v>
      </c>
      <c r="FQ31" s="392">
        <v>554.904</v>
      </c>
      <c r="FR31" s="392">
        <v>615.07799999999997</v>
      </c>
      <c r="FS31" s="392">
        <v>552.024</v>
      </c>
      <c r="FT31" s="392">
        <v>445.48199999999997</v>
      </c>
      <c r="FU31" s="392">
        <v>470.31599999999997</v>
      </c>
      <c r="FV31" s="392">
        <v>435.36</v>
      </c>
      <c r="FW31" s="392">
        <v>467.83799999999997</v>
      </c>
      <c r="FX31" s="392">
        <v>426.726</v>
      </c>
      <c r="FY31" s="392">
        <v>382.03199999999998</v>
      </c>
      <c r="FZ31" s="392">
        <v>349.77</v>
      </c>
      <c r="GA31" s="392">
        <v>316.98</v>
      </c>
      <c r="GB31" s="392">
        <v>401.47200000000004</v>
      </c>
      <c r="GC31" s="392">
        <v>306.11399999999998</v>
      </c>
      <c r="GD31" s="392">
        <v>335.47799999999995</v>
      </c>
      <c r="GE31" s="392">
        <v>356.99400000000003</v>
      </c>
      <c r="GF31" s="392">
        <v>301.23</v>
      </c>
      <c r="GG31" s="392">
        <v>328.12800000000004</v>
      </c>
      <c r="GH31" s="392">
        <v>399.08399999999995</v>
      </c>
      <c r="GI31" s="392">
        <v>379.51800000000003</v>
      </c>
      <c r="GJ31" s="392">
        <v>412.548</v>
      </c>
      <c r="GK31" s="392">
        <v>430.66200000000003</v>
      </c>
      <c r="GL31" s="392">
        <v>379.78199999999998</v>
      </c>
      <c r="GM31" s="392">
        <v>368.154</v>
      </c>
      <c r="GN31" s="392">
        <v>474.16200000000003</v>
      </c>
      <c r="GO31" s="392">
        <v>451.92599999999999</v>
      </c>
      <c r="GP31" s="392">
        <v>402.62400000000002</v>
      </c>
      <c r="GQ31" s="392">
        <v>422.25</v>
      </c>
      <c r="GR31" s="392">
        <v>379.79399999999998</v>
      </c>
      <c r="GS31" s="392">
        <v>369.21600000000001</v>
      </c>
      <c r="GT31" s="392">
        <v>428.89800000000002</v>
      </c>
      <c r="GU31" s="392">
        <v>341.17200000000003</v>
      </c>
      <c r="GV31" s="392">
        <v>388.11</v>
      </c>
      <c r="GW31" s="392">
        <v>422.904</v>
      </c>
      <c r="GX31" s="392">
        <v>337.21199999999999</v>
      </c>
      <c r="GY31" s="392">
        <v>390.024</v>
      </c>
      <c r="GZ31" s="392">
        <v>439.60199999999998</v>
      </c>
      <c r="HA31" s="392">
        <v>446.91600000000005</v>
      </c>
      <c r="HB31" s="392">
        <v>450.60599999999999</v>
      </c>
      <c r="HC31" s="392">
        <v>485.52600000000007</v>
      </c>
      <c r="HD31" s="392">
        <v>459.36600000000004</v>
      </c>
      <c r="HE31" s="392">
        <v>508.36799999999994</v>
      </c>
      <c r="HF31" s="392">
        <v>505.74</v>
      </c>
      <c r="HG31" s="392">
        <v>461.77200000000005</v>
      </c>
      <c r="HH31" s="392">
        <v>517.63799999999992</v>
      </c>
      <c r="HI31" s="392">
        <v>455.69399999999996</v>
      </c>
      <c r="HJ31" s="392">
        <v>504.62400000000002</v>
      </c>
      <c r="HK31" s="392">
        <v>452.83799999999997</v>
      </c>
      <c r="HL31" s="392">
        <v>533.05799999999999</v>
      </c>
      <c r="HM31" s="392">
        <v>419.08199999999999</v>
      </c>
      <c r="HN31" s="392">
        <v>495.714</v>
      </c>
      <c r="HO31" s="392">
        <v>390.70799999999997</v>
      </c>
      <c r="HP31" s="444">
        <v>384.44399999999996</v>
      </c>
      <c r="HQ31" s="444">
        <v>352.59000000000003</v>
      </c>
      <c r="HR31" s="444">
        <v>395.952</v>
      </c>
      <c r="HS31" s="444">
        <v>366.27</v>
      </c>
      <c r="HT31" s="444">
        <v>325.19399999999996</v>
      </c>
      <c r="HU31" s="444">
        <v>306.738</v>
      </c>
      <c r="HV31" s="392">
        <v>385.83600000000001</v>
      </c>
      <c r="HW31" s="392">
        <v>316.01400000000001</v>
      </c>
      <c r="HX31" s="392">
        <v>253.11</v>
      </c>
      <c r="HY31" s="392">
        <v>215.07599999999996</v>
      </c>
      <c r="HZ31" s="392">
        <v>280.07400000000001</v>
      </c>
      <c r="IA31" s="392">
        <v>323.50200000000001</v>
      </c>
      <c r="IB31" s="392">
        <v>312.58799999999997</v>
      </c>
      <c r="IC31" s="392">
        <v>254.57400000000001</v>
      </c>
      <c r="ID31" s="392">
        <v>158.11199999999999</v>
      </c>
      <c r="IE31" s="392">
        <v>249.12</v>
      </c>
      <c r="IF31" s="392">
        <v>205.63800000000003</v>
      </c>
      <c r="IG31" s="392">
        <v>136.30799999999999</v>
      </c>
      <c r="IH31" s="392">
        <v>64.271999999999991</v>
      </c>
      <c r="II31" s="392">
        <v>27.768000000000001</v>
      </c>
      <c r="IJ31" s="392">
        <v>35.393999999999998</v>
      </c>
      <c r="IK31" s="392">
        <v>33.864000000000004</v>
      </c>
      <c r="IL31" s="392">
        <v>34.433999999999997</v>
      </c>
      <c r="IM31" s="392">
        <v>206.04599999999999</v>
      </c>
      <c r="IN31" s="444">
        <v>210.31799999999998</v>
      </c>
      <c r="IO31" s="444">
        <v>256.77</v>
      </c>
      <c r="IP31" s="444">
        <v>246.072</v>
      </c>
      <c r="IQ31" s="444">
        <v>250.392</v>
      </c>
      <c r="IR31" s="444">
        <v>210.79199999999997</v>
      </c>
      <c r="IS31" s="444">
        <v>196.87800000000001</v>
      </c>
      <c r="IT31" s="444">
        <v>200.85599999999999</v>
      </c>
      <c r="IU31" s="444">
        <v>203.79599999999999</v>
      </c>
      <c r="IV31" s="444">
        <v>241.36799999999999</v>
      </c>
      <c r="IW31" s="445">
        <v>187.94399999999999</v>
      </c>
      <c r="IX31" s="445">
        <v>340.55799999999999</v>
      </c>
      <c r="IY31" s="445">
        <v>292.49200000000002</v>
      </c>
      <c r="IZ31" s="445">
        <v>317.70400000000001</v>
      </c>
      <c r="JA31" s="445">
        <v>326.952</v>
      </c>
      <c r="JB31" s="445">
        <v>367.73</v>
      </c>
      <c r="JC31" s="445">
        <v>372.07799999999997</v>
      </c>
      <c r="JD31" s="445">
        <v>350.142</v>
      </c>
      <c r="JE31" s="446">
        <v>342.87599999999998</v>
      </c>
    </row>
    <row r="32" spans="1:265" x14ac:dyDescent="0.3">
      <c r="A32" s="394" t="s">
        <v>87</v>
      </c>
      <c r="B32" s="395">
        <v>8250.69</v>
      </c>
      <c r="C32" s="395">
        <v>8181.0119999999997</v>
      </c>
      <c r="D32" s="395">
        <v>9202.5420000000013</v>
      </c>
      <c r="E32" s="395">
        <v>8905.7219999999998</v>
      </c>
      <c r="F32" s="395">
        <v>8752.764000000001</v>
      </c>
      <c r="G32" s="395">
        <v>8756.0640000000003</v>
      </c>
      <c r="H32" s="395">
        <v>8524.4459999999999</v>
      </c>
      <c r="I32" s="395">
        <v>8610.6720000000005</v>
      </c>
      <c r="J32" s="395">
        <v>8275.4459999999999</v>
      </c>
      <c r="K32" s="395">
        <v>8438.0280000000002</v>
      </c>
      <c r="L32" s="395">
        <v>8289.8580000000002</v>
      </c>
      <c r="M32" s="395">
        <v>8106.6360000000004</v>
      </c>
      <c r="N32" s="395">
        <v>8702.64</v>
      </c>
      <c r="O32" s="395">
        <v>8000.6759999999995</v>
      </c>
      <c r="P32" s="395">
        <v>8410.9500000000007</v>
      </c>
      <c r="Q32" s="395">
        <v>8060.514000000001</v>
      </c>
      <c r="R32" s="395">
        <v>8082.9060000000009</v>
      </c>
      <c r="S32" s="395">
        <v>7707.924</v>
      </c>
      <c r="T32" s="395">
        <v>9127.6560000000009</v>
      </c>
      <c r="U32" s="395">
        <v>8219.01</v>
      </c>
      <c r="V32" s="395">
        <v>8912.19</v>
      </c>
      <c r="W32" s="395">
        <v>8862.84</v>
      </c>
      <c r="X32" s="395">
        <v>8463.5760000000009</v>
      </c>
      <c r="Y32" s="395">
        <v>8056.8240000000005</v>
      </c>
      <c r="Z32" s="395">
        <v>7868.9940000000006</v>
      </c>
      <c r="AA32" s="395">
        <v>7490.9220000000005</v>
      </c>
      <c r="AB32" s="395">
        <v>8527.0740000000005</v>
      </c>
      <c r="AC32" s="395">
        <v>7674.0659999999998</v>
      </c>
      <c r="AD32" s="395">
        <v>7924.8180000000011</v>
      </c>
      <c r="AE32" s="395">
        <v>7750.7160000000003</v>
      </c>
      <c r="AF32" s="395">
        <v>7954.68</v>
      </c>
      <c r="AG32" s="395">
        <v>8010.9840000000004</v>
      </c>
      <c r="AH32" s="395">
        <v>7960.8420000000006</v>
      </c>
      <c r="AI32" s="395">
        <v>8026.0860000000002</v>
      </c>
      <c r="AJ32" s="395">
        <v>8453.4120000000003</v>
      </c>
      <c r="AK32" s="395">
        <v>8054.4000000000005</v>
      </c>
      <c r="AL32" s="395">
        <v>8133.8819999999996</v>
      </c>
      <c r="AM32" s="395">
        <v>8972.4540000000015</v>
      </c>
      <c r="AN32" s="395">
        <v>9246.2219999999998</v>
      </c>
      <c r="AO32" s="395">
        <v>8455.8240000000005</v>
      </c>
      <c r="AP32" s="395">
        <v>9163.6139999999996</v>
      </c>
      <c r="AQ32" s="395">
        <v>8742.2880000000005</v>
      </c>
      <c r="AR32" s="395">
        <v>8861.0939999999991</v>
      </c>
      <c r="AS32" s="395">
        <v>8535.5280000000002</v>
      </c>
      <c r="AT32" s="395">
        <v>8426.34</v>
      </c>
      <c r="AU32" s="395">
        <v>8283.1440000000002</v>
      </c>
      <c r="AV32" s="395">
        <v>8131.5960000000005</v>
      </c>
      <c r="AW32" s="395">
        <v>7459.6439999999993</v>
      </c>
      <c r="AX32" s="395">
        <v>7305.0300000000007</v>
      </c>
      <c r="AY32" s="395">
        <v>7153.6020000000008</v>
      </c>
      <c r="AZ32" s="395">
        <v>7465.7579999999998</v>
      </c>
      <c r="BA32" s="395">
        <v>7329.57</v>
      </c>
      <c r="BB32" s="395">
        <v>7476.5339999999997</v>
      </c>
      <c r="BC32" s="395">
        <v>7188.5159999999996</v>
      </c>
      <c r="BD32" s="395">
        <v>7156.326</v>
      </c>
      <c r="BE32" s="395">
        <v>7569.1439999999993</v>
      </c>
      <c r="BF32" s="395">
        <v>7533.9719999999998</v>
      </c>
      <c r="BG32" s="395">
        <v>7522.7820000000002</v>
      </c>
      <c r="BH32" s="395">
        <v>7548.7440000000006</v>
      </c>
      <c r="BI32" s="395">
        <v>6888.4139999999998</v>
      </c>
      <c r="BJ32" s="395">
        <v>6596.1539999999995</v>
      </c>
      <c r="BK32" s="395">
        <v>6732.9719999999998</v>
      </c>
      <c r="BL32" s="395">
        <v>7135.02</v>
      </c>
      <c r="BM32" s="395">
        <v>7645.985999999999</v>
      </c>
      <c r="BN32" s="395">
        <v>7821.9000000000005</v>
      </c>
      <c r="BO32" s="395">
        <v>7338.2040000000006</v>
      </c>
      <c r="BP32" s="395">
        <v>7656.5280000000002</v>
      </c>
      <c r="BQ32" s="395">
        <v>7434.5399999999991</v>
      </c>
      <c r="BR32" s="395">
        <v>7577.1060000000007</v>
      </c>
      <c r="BS32" s="395">
        <v>7708.6319999999996</v>
      </c>
      <c r="BT32" s="395">
        <v>7936.4639999999999</v>
      </c>
      <c r="BU32" s="395">
        <v>7705.9380000000001</v>
      </c>
      <c r="BV32" s="395">
        <v>8062.9980000000005</v>
      </c>
      <c r="BW32" s="395">
        <v>7932.9719999999998</v>
      </c>
      <c r="BX32" s="395">
        <v>8420.387999999999</v>
      </c>
      <c r="BY32" s="395">
        <v>8051.13</v>
      </c>
      <c r="BZ32" s="395">
        <v>8537.6280000000006</v>
      </c>
      <c r="CA32" s="395">
        <v>8241.75</v>
      </c>
      <c r="CB32" s="395">
        <v>8483.76</v>
      </c>
      <c r="CC32" s="395">
        <v>8789.4840000000004</v>
      </c>
      <c r="CD32" s="395">
        <v>8632.9439999999995</v>
      </c>
      <c r="CE32" s="395">
        <v>8382.7920000000013</v>
      </c>
      <c r="CF32" s="395">
        <v>8639.0640000000003</v>
      </c>
      <c r="CG32" s="395">
        <v>8252.3760000000002</v>
      </c>
      <c r="CH32" s="395">
        <v>8227.3019999999997</v>
      </c>
      <c r="CI32" s="395">
        <v>8262.7619999999988</v>
      </c>
      <c r="CJ32" s="395">
        <v>9274.0680000000011</v>
      </c>
      <c r="CK32" s="395">
        <v>9509.9940000000006</v>
      </c>
      <c r="CL32" s="395">
        <v>10541.07</v>
      </c>
      <c r="CM32" s="395">
        <v>9654.0779999999995</v>
      </c>
      <c r="CN32" s="395">
        <v>9264.2819999999992</v>
      </c>
      <c r="CO32" s="395">
        <v>10089.353999999999</v>
      </c>
      <c r="CP32" s="395">
        <v>9658.0619999999999</v>
      </c>
      <c r="CQ32" s="395">
        <v>10794.72</v>
      </c>
      <c r="CR32" s="395">
        <v>10033.380000000001</v>
      </c>
      <c r="CS32" s="395">
        <v>9703.0499999999993</v>
      </c>
      <c r="CT32" s="395">
        <v>10239.696</v>
      </c>
      <c r="CU32" s="395">
        <v>10478.142</v>
      </c>
      <c r="CV32" s="395">
        <v>11363.124</v>
      </c>
      <c r="CW32" s="395">
        <v>11089.698</v>
      </c>
      <c r="CX32" s="395">
        <v>12313.241999999998</v>
      </c>
      <c r="CY32" s="395">
        <v>11007.960000000001</v>
      </c>
      <c r="CZ32" s="395">
        <v>10152.738000000001</v>
      </c>
      <c r="DA32" s="395">
        <v>9802.5360000000001</v>
      </c>
      <c r="DB32" s="395">
        <v>9675.5999999999985</v>
      </c>
      <c r="DC32" s="395">
        <v>10235.219999999999</v>
      </c>
      <c r="DD32" s="395">
        <v>8555.0159999999996</v>
      </c>
      <c r="DE32" s="395">
        <v>8517.5280000000002</v>
      </c>
      <c r="DF32" s="395">
        <v>8009.2800000000007</v>
      </c>
      <c r="DG32" s="395">
        <v>9187.2060000000001</v>
      </c>
      <c r="DH32" s="395">
        <v>10495.632</v>
      </c>
      <c r="DI32" s="395">
        <v>10415.976000000001</v>
      </c>
      <c r="DJ32" s="395">
        <v>10554.27</v>
      </c>
      <c r="DK32" s="395">
        <v>9976.5659999999989</v>
      </c>
      <c r="DL32" s="395">
        <v>10037.849999999999</v>
      </c>
      <c r="DM32" s="395">
        <v>10435.464</v>
      </c>
      <c r="DN32" s="395">
        <v>9818.8979999999992</v>
      </c>
      <c r="DO32" s="395">
        <v>9808.3080000000009</v>
      </c>
      <c r="DP32" s="395">
        <v>10300.242</v>
      </c>
      <c r="DQ32" s="395">
        <v>9667.6739999999991</v>
      </c>
      <c r="DR32" s="395">
        <v>10208.466</v>
      </c>
      <c r="DS32" s="395">
        <v>9711.42</v>
      </c>
      <c r="DT32" s="395">
        <v>10575.119999999999</v>
      </c>
      <c r="DU32" s="395">
        <v>10337.628000000001</v>
      </c>
      <c r="DV32" s="395">
        <v>11026.068000000001</v>
      </c>
      <c r="DW32" s="395">
        <v>10646.43</v>
      </c>
      <c r="DX32" s="395">
        <v>11187</v>
      </c>
      <c r="DY32" s="395">
        <v>11426.946</v>
      </c>
      <c r="DZ32" s="395">
        <v>11738.49</v>
      </c>
      <c r="EA32" s="395">
        <v>12267.137999999999</v>
      </c>
      <c r="EB32" s="395">
        <v>12261.335999999999</v>
      </c>
      <c r="EC32" s="395">
        <v>11507.64</v>
      </c>
      <c r="ED32" s="395">
        <v>11750.61</v>
      </c>
      <c r="EE32" s="395">
        <v>11857.548000000001</v>
      </c>
      <c r="EF32" s="395">
        <v>13046.814</v>
      </c>
      <c r="EG32" s="395">
        <v>12799.29</v>
      </c>
      <c r="EH32" s="395">
        <v>13306.698</v>
      </c>
      <c r="EI32" s="395">
        <v>12998.502</v>
      </c>
      <c r="EJ32" s="395">
        <v>13461.101999999999</v>
      </c>
      <c r="EK32" s="395">
        <v>13390.998</v>
      </c>
      <c r="EL32" s="395">
        <v>13361.165999999999</v>
      </c>
      <c r="EM32" s="395">
        <v>13223.22</v>
      </c>
      <c r="EN32" s="395">
        <v>12345.545999999998</v>
      </c>
      <c r="EO32" s="395">
        <v>11705.304</v>
      </c>
      <c r="EP32" s="395">
        <v>12171.75</v>
      </c>
      <c r="EQ32" s="395">
        <v>12189.312</v>
      </c>
      <c r="ER32" s="395">
        <v>12530.214</v>
      </c>
      <c r="ES32" s="395">
        <v>12141.564</v>
      </c>
      <c r="ET32" s="395">
        <v>13006.11</v>
      </c>
      <c r="EU32" s="395">
        <v>12010.848</v>
      </c>
      <c r="EV32" s="395">
        <v>11440.866</v>
      </c>
      <c r="EW32" s="395">
        <v>10523.238000000001</v>
      </c>
      <c r="EX32" s="395">
        <v>10517.436</v>
      </c>
      <c r="EY32" s="395">
        <v>9656.4660000000003</v>
      </c>
      <c r="EZ32" s="395">
        <v>10343.004000000001</v>
      </c>
      <c r="FA32" s="395">
        <v>8633.3040000000001</v>
      </c>
      <c r="FB32" s="395">
        <v>8688.9000000000015</v>
      </c>
      <c r="FC32" s="395">
        <v>8425.74</v>
      </c>
      <c r="FD32" s="395">
        <v>9081.6419999999998</v>
      </c>
      <c r="FE32" s="395">
        <v>9235.2899999999991</v>
      </c>
      <c r="FF32" s="395">
        <v>9142.3979999999992</v>
      </c>
      <c r="FG32" s="395">
        <v>8712.402</v>
      </c>
      <c r="FH32" s="395">
        <v>8802.0540000000001</v>
      </c>
      <c r="FI32" s="395">
        <v>9529.56</v>
      </c>
      <c r="FJ32" s="395">
        <v>9127.4519999999993</v>
      </c>
      <c r="FK32" s="395">
        <v>9938.58</v>
      </c>
      <c r="FL32" s="395">
        <v>9458.4359999999997</v>
      </c>
      <c r="FM32" s="395">
        <v>8929.7880000000005</v>
      </c>
      <c r="FN32" s="395">
        <v>9001.7880000000005</v>
      </c>
      <c r="FO32" s="395">
        <v>9294.4439999999995</v>
      </c>
      <c r="FP32" s="395">
        <v>10281.485999999999</v>
      </c>
      <c r="FQ32" s="395">
        <v>9936.4259999999995</v>
      </c>
      <c r="FR32" s="395">
        <v>9885.9719999999998</v>
      </c>
      <c r="FS32" s="395">
        <v>9789.630000000001</v>
      </c>
      <c r="FT32" s="395">
        <v>10148.394</v>
      </c>
      <c r="FU32" s="395">
        <v>10334.628000000001</v>
      </c>
      <c r="FV32" s="395">
        <v>10108.722</v>
      </c>
      <c r="FW32" s="395">
        <v>11336.592000000001</v>
      </c>
      <c r="FX32" s="395">
        <v>11198.147999999999</v>
      </c>
      <c r="FY32" s="395">
        <v>10757.460000000001</v>
      </c>
      <c r="FZ32" s="395">
        <v>11187.906000000001</v>
      </c>
      <c r="GA32" s="395">
        <v>11415.642</v>
      </c>
      <c r="GB32" s="395">
        <v>12070.938</v>
      </c>
      <c r="GC32" s="395">
        <v>12653.165999999999</v>
      </c>
      <c r="GD32" s="395">
        <v>12569.310000000001</v>
      </c>
      <c r="GE32" s="395">
        <v>12491.094000000001</v>
      </c>
      <c r="GF32" s="395">
        <v>13216.332000000002</v>
      </c>
      <c r="GG32" s="395">
        <v>13077.155999999999</v>
      </c>
      <c r="GH32" s="395">
        <v>13141.428</v>
      </c>
      <c r="GI32" s="395">
        <v>14063.400000000001</v>
      </c>
      <c r="GJ32" s="395">
        <v>13735.392</v>
      </c>
      <c r="GK32" s="395">
        <v>12679.848</v>
      </c>
      <c r="GL32" s="395">
        <v>13122.491999999998</v>
      </c>
      <c r="GM32" s="395">
        <v>12775.554</v>
      </c>
      <c r="GN32" s="395">
        <v>13995.810000000001</v>
      </c>
      <c r="GO32" s="395">
        <v>13672.949999999999</v>
      </c>
      <c r="GP32" s="395">
        <v>15390.797999999999</v>
      </c>
      <c r="GQ32" s="395">
        <v>14241.119999999999</v>
      </c>
      <c r="GR32" s="395">
        <v>14449.824000000001</v>
      </c>
      <c r="GS32" s="395">
        <v>14859.797999999999</v>
      </c>
      <c r="GT32" s="395">
        <v>13908.756000000001</v>
      </c>
      <c r="GU32" s="395">
        <v>15672.78</v>
      </c>
      <c r="GV32" s="395">
        <v>14746.374</v>
      </c>
      <c r="GW32" s="395">
        <v>13963.47</v>
      </c>
      <c r="GX32" s="395">
        <v>14077.854000000001</v>
      </c>
      <c r="GY32" s="395">
        <v>13761.99</v>
      </c>
      <c r="GZ32" s="395">
        <v>15717.804</v>
      </c>
      <c r="HA32" s="395">
        <v>14716.578</v>
      </c>
      <c r="HB32" s="395">
        <v>15348.072</v>
      </c>
      <c r="HC32" s="395">
        <v>14873.49</v>
      </c>
      <c r="HD32" s="395">
        <v>16232.886000000002</v>
      </c>
      <c r="HE32" s="395">
        <v>15611.057999999999</v>
      </c>
      <c r="HF32" s="395">
        <v>15112.098</v>
      </c>
      <c r="HG32" s="395">
        <v>16185.689999999999</v>
      </c>
      <c r="HH32" s="395">
        <v>17059.272000000001</v>
      </c>
      <c r="HI32" s="395">
        <v>14935.224000000002</v>
      </c>
      <c r="HJ32" s="395">
        <v>15369.606</v>
      </c>
      <c r="HK32" s="395">
        <v>14846.946</v>
      </c>
      <c r="HL32" s="395">
        <v>17031.876</v>
      </c>
      <c r="HM32" s="395">
        <v>15903.599999999999</v>
      </c>
      <c r="HN32" s="395">
        <v>16711.044000000002</v>
      </c>
      <c r="HO32" s="395">
        <v>15493.991999999998</v>
      </c>
      <c r="HP32" s="395">
        <v>16992.804</v>
      </c>
      <c r="HQ32" s="395">
        <v>15788.915999999999</v>
      </c>
      <c r="HR32" s="395">
        <v>15445.302</v>
      </c>
      <c r="HS32" s="395">
        <v>16376.184000000001</v>
      </c>
      <c r="HT32" s="395">
        <v>16534.71</v>
      </c>
      <c r="HU32" s="395">
        <v>15349.224000000002</v>
      </c>
      <c r="HV32" s="395">
        <v>15572.207999999999</v>
      </c>
      <c r="HW32" s="395">
        <v>15818.417999999998</v>
      </c>
      <c r="HX32" s="395">
        <v>17166.756000000001</v>
      </c>
      <c r="HY32" s="395">
        <v>15562.998</v>
      </c>
      <c r="HZ32" s="395">
        <v>16567.788</v>
      </c>
      <c r="IA32" s="395">
        <v>16353.882</v>
      </c>
      <c r="IB32" s="395">
        <v>17186.292000000001</v>
      </c>
      <c r="IC32" s="395">
        <v>16984.38</v>
      </c>
      <c r="ID32" s="395">
        <v>16360.23</v>
      </c>
      <c r="IE32" s="395">
        <v>16968.173999999999</v>
      </c>
      <c r="IF32" s="395">
        <v>17418.491999999998</v>
      </c>
      <c r="IG32" s="395">
        <v>16812.912</v>
      </c>
      <c r="IH32" s="395">
        <v>17387.448</v>
      </c>
      <c r="II32" s="395">
        <v>17175.887999999999</v>
      </c>
      <c r="IJ32" s="395">
        <v>20032.415999999997</v>
      </c>
      <c r="IK32" s="395">
        <v>18699.93</v>
      </c>
      <c r="IL32" s="395">
        <v>19923.905999999999</v>
      </c>
      <c r="IM32" s="395">
        <v>19318.698</v>
      </c>
      <c r="IN32" s="15">
        <v>19505.687999999998</v>
      </c>
      <c r="IO32" s="15">
        <v>20239.47</v>
      </c>
      <c r="IP32" s="15">
        <v>18706.067999999999</v>
      </c>
      <c r="IQ32" s="15">
        <v>19920.21</v>
      </c>
      <c r="IR32" s="15">
        <v>20682.096000000001</v>
      </c>
      <c r="IS32" s="15">
        <v>19105.721999999998</v>
      </c>
      <c r="IT32" s="15">
        <v>19420.079999999998</v>
      </c>
      <c r="IU32" s="15">
        <v>19464.329999999998</v>
      </c>
      <c r="IV32" s="15">
        <v>20675.682000000001</v>
      </c>
      <c r="IW32" s="15">
        <v>20424.666000000001</v>
      </c>
      <c r="IX32" s="15">
        <v>19804.466</v>
      </c>
      <c r="IY32" s="15">
        <v>18992.732</v>
      </c>
      <c r="IZ32" s="15">
        <v>18596.263999999999</v>
      </c>
      <c r="JA32" s="15">
        <v>18470.284</v>
      </c>
      <c r="JB32" s="15">
        <v>19933.691999999999</v>
      </c>
      <c r="JC32" s="15">
        <v>19909.792000000001</v>
      </c>
      <c r="JD32" s="15">
        <v>20381.027999999998</v>
      </c>
      <c r="JE32" s="447">
        <v>21157.495999999999</v>
      </c>
    </row>
    <row r="33" spans="1:519" x14ac:dyDescent="0.3">
      <c r="A33" s="394" t="s">
        <v>88</v>
      </c>
      <c r="B33" s="392">
        <v>2428.62</v>
      </c>
      <c r="C33" s="392">
        <v>2749.8779999999997</v>
      </c>
      <c r="D33" s="392">
        <v>3277.8060000000005</v>
      </c>
      <c r="E33" s="392">
        <v>3094.848</v>
      </c>
      <c r="F33" s="392">
        <v>3297.99</v>
      </c>
      <c r="G33" s="392">
        <v>2925.0360000000001</v>
      </c>
      <c r="H33" s="392">
        <v>3060.39</v>
      </c>
      <c r="I33" s="392">
        <v>3636.0540000000001</v>
      </c>
      <c r="J33" s="392">
        <v>3489.2280000000001</v>
      </c>
      <c r="K33" s="392">
        <v>3608.82</v>
      </c>
      <c r="L33" s="392">
        <v>4119.7440000000006</v>
      </c>
      <c r="M33" s="392">
        <v>3181.6379999999999</v>
      </c>
      <c r="N33" s="392">
        <v>2942.8739999999998</v>
      </c>
      <c r="O33" s="392">
        <v>2656.1279999999997</v>
      </c>
      <c r="P33" s="392">
        <v>2885.7660000000001</v>
      </c>
      <c r="Q33" s="392">
        <v>2444.5920000000001</v>
      </c>
      <c r="R33" s="392">
        <v>2754.0120000000002</v>
      </c>
      <c r="S33" s="392">
        <v>2276.5500000000002</v>
      </c>
      <c r="T33" s="392">
        <v>2753.37</v>
      </c>
      <c r="U33" s="392">
        <v>3206.7359999999999</v>
      </c>
      <c r="V33" s="392">
        <v>3403.6379999999999</v>
      </c>
      <c r="W33" s="392">
        <v>3690.6059999999998</v>
      </c>
      <c r="X33" s="392">
        <v>4094.7060000000001</v>
      </c>
      <c r="Y33" s="392">
        <v>4027.848</v>
      </c>
      <c r="Z33" s="392">
        <v>4250.8739999999998</v>
      </c>
      <c r="AA33" s="392">
        <v>4279.5659999999998</v>
      </c>
      <c r="AB33" s="392">
        <v>4808.3339999999998</v>
      </c>
      <c r="AC33" s="392">
        <v>4143.8820000000005</v>
      </c>
      <c r="AD33" s="392">
        <v>5014.17</v>
      </c>
      <c r="AE33" s="392">
        <v>4421.0460000000003</v>
      </c>
      <c r="AF33" s="392">
        <v>4513.5659999999998</v>
      </c>
      <c r="AG33" s="392">
        <v>4858.134</v>
      </c>
      <c r="AH33" s="392">
        <v>5062.9500000000007</v>
      </c>
      <c r="AI33" s="392">
        <v>5204.4840000000004</v>
      </c>
      <c r="AJ33" s="392">
        <v>5203.4040000000005</v>
      </c>
      <c r="AK33" s="392">
        <v>4908.54</v>
      </c>
      <c r="AL33" s="392">
        <v>5360.5499999999993</v>
      </c>
      <c r="AM33" s="392">
        <v>5321.0280000000002</v>
      </c>
      <c r="AN33" s="392">
        <v>5659.8119999999999</v>
      </c>
      <c r="AO33" s="392">
        <v>5898.9120000000003</v>
      </c>
      <c r="AP33" s="392">
        <v>6251.652</v>
      </c>
      <c r="AQ33" s="392">
        <v>6089.0039999999999</v>
      </c>
      <c r="AR33" s="392">
        <v>6055.7880000000005</v>
      </c>
      <c r="AS33" s="392">
        <v>5787.942</v>
      </c>
      <c r="AT33" s="392">
        <v>6652.8960000000006</v>
      </c>
      <c r="AU33" s="392">
        <v>6677.8919999999998</v>
      </c>
      <c r="AV33" s="392">
        <v>6171.1560000000009</v>
      </c>
      <c r="AW33" s="392">
        <v>5079.4079999999994</v>
      </c>
      <c r="AX33" s="392">
        <v>5409.2579999999998</v>
      </c>
      <c r="AY33" s="392">
        <v>5303.1120000000001</v>
      </c>
      <c r="AZ33" s="392">
        <v>6217.4639999999999</v>
      </c>
      <c r="BA33" s="392">
        <v>6158.1660000000011</v>
      </c>
      <c r="BB33" s="392">
        <v>6537.9959999999992</v>
      </c>
      <c r="BC33" s="392">
        <v>6279.5939999999991</v>
      </c>
      <c r="BD33" s="392">
        <v>7128.7920000000004</v>
      </c>
      <c r="BE33" s="392">
        <v>6650.3339999999989</v>
      </c>
      <c r="BF33" s="392">
        <v>7335.4560000000001</v>
      </c>
      <c r="BG33" s="392">
        <v>7565.34</v>
      </c>
      <c r="BH33" s="392">
        <v>7638.1620000000003</v>
      </c>
      <c r="BI33" s="392">
        <v>6779.9940000000006</v>
      </c>
      <c r="BJ33" s="392">
        <v>6215.598</v>
      </c>
      <c r="BK33" s="392">
        <v>7849.8360000000002</v>
      </c>
      <c r="BL33" s="392">
        <v>8519.4060000000009</v>
      </c>
      <c r="BM33" s="392">
        <v>8570.8919999999998</v>
      </c>
      <c r="BN33" s="392">
        <v>9609.2100000000009</v>
      </c>
      <c r="BO33" s="392">
        <v>9578.5619999999999</v>
      </c>
      <c r="BP33" s="392">
        <v>10140.114</v>
      </c>
      <c r="BQ33" s="392">
        <v>10286.76</v>
      </c>
      <c r="BR33" s="392">
        <v>11433.456</v>
      </c>
      <c r="BS33" s="392">
        <v>11578.89</v>
      </c>
      <c r="BT33" s="392">
        <v>11151.168</v>
      </c>
      <c r="BU33" s="392">
        <v>9725.7479999999996</v>
      </c>
      <c r="BV33" s="392">
        <v>9157.9740000000002</v>
      </c>
      <c r="BW33" s="392">
        <v>10698.906000000001</v>
      </c>
      <c r="BX33" s="392">
        <v>10456.356</v>
      </c>
      <c r="BY33" s="392">
        <v>10503.378000000001</v>
      </c>
      <c r="BZ33" s="392">
        <v>11414.538</v>
      </c>
      <c r="CA33" s="392">
        <v>10835.603999999999</v>
      </c>
      <c r="CB33" s="392">
        <v>11496.732</v>
      </c>
      <c r="CC33" s="392">
        <v>11625.72</v>
      </c>
      <c r="CD33" s="392">
        <v>10525.08</v>
      </c>
      <c r="CE33" s="392">
        <v>10390.116</v>
      </c>
      <c r="CF33" s="392">
        <v>10738.896000000001</v>
      </c>
      <c r="CG33" s="392">
        <v>8694.5459999999985</v>
      </c>
      <c r="CH33" s="392">
        <v>9228.4079999999994</v>
      </c>
      <c r="CI33" s="392">
        <v>10114.416000000001</v>
      </c>
      <c r="CJ33" s="392">
        <v>10122.696</v>
      </c>
      <c r="CK33" s="392">
        <v>10408.68</v>
      </c>
      <c r="CL33" s="392">
        <v>11257.254000000001</v>
      </c>
      <c r="CM33" s="392">
        <v>12255.198</v>
      </c>
      <c r="CN33" s="392">
        <v>13326.611999999999</v>
      </c>
      <c r="CO33" s="392">
        <v>14728.949999999999</v>
      </c>
      <c r="CP33" s="392">
        <v>15322.848</v>
      </c>
      <c r="CQ33" s="392">
        <v>15436.721999999998</v>
      </c>
      <c r="CR33" s="392">
        <v>14955.216</v>
      </c>
      <c r="CS33" s="392">
        <v>12519.006000000001</v>
      </c>
      <c r="CT33" s="392">
        <v>12268.397999999999</v>
      </c>
      <c r="CU33" s="392">
        <v>12641.868</v>
      </c>
      <c r="CV33" s="392">
        <v>14462.111999999999</v>
      </c>
      <c r="CW33" s="392">
        <v>14169.186</v>
      </c>
      <c r="CX33" s="392">
        <v>13765.031999999999</v>
      </c>
      <c r="CY33" s="392">
        <v>13376.477999999999</v>
      </c>
      <c r="CZ33" s="392">
        <v>14009.304</v>
      </c>
      <c r="DA33" s="392">
        <v>13202.838</v>
      </c>
      <c r="DB33" s="392">
        <v>12254.67</v>
      </c>
      <c r="DC33" s="392">
        <v>12639.078</v>
      </c>
      <c r="DD33" s="392">
        <v>13141.632</v>
      </c>
      <c r="DE33" s="392">
        <v>11433.558000000001</v>
      </c>
      <c r="DF33" s="392">
        <v>10886.897999999999</v>
      </c>
      <c r="DG33" s="392">
        <v>11314.614</v>
      </c>
      <c r="DH33" s="392">
        <v>11885.028</v>
      </c>
      <c r="DI33" s="392">
        <v>11694.18</v>
      </c>
      <c r="DJ33" s="392">
        <v>12524.748</v>
      </c>
      <c r="DK33" s="392">
        <v>12740.238000000001</v>
      </c>
      <c r="DL33" s="392">
        <v>13660.266</v>
      </c>
      <c r="DM33" s="392">
        <v>13907.964</v>
      </c>
      <c r="DN33" s="392">
        <v>13846.248</v>
      </c>
      <c r="DO33" s="392">
        <v>14588.142</v>
      </c>
      <c r="DP33" s="392">
        <v>14658.48</v>
      </c>
      <c r="DQ33" s="392">
        <v>13026.324000000001</v>
      </c>
      <c r="DR33" s="392">
        <v>13806.756000000001</v>
      </c>
      <c r="DS33" s="392">
        <v>13206.167999999998</v>
      </c>
      <c r="DT33" s="392">
        <v>14674.632</v>
      </c>
      <c r="DU33" s="392">
        <v>15311.856</v>
      </c>
      <c r="DV33" s="392">
        <v>18370.800000000003</v>
      </c>
      <c r="DW33" s="392">
        <v>17964.294000000002</v>
      </c>
      <c r="DX33" s="392">
        <v>18529.542000000001</v>
      </c>
      <c r="DY33" s="392">
        <v>18718.241999999998</v>
      </c>
      <c r="DZ33" s="392">
        <v>19827.732</v>
      </c>
      <c r="EA33" s="392">
        <v>20066.13</v>
      </c>
      <c r="EB33" s="392">
        <v>21046.721999999998</v>
      </c>
      <c r="EC33" s="392">
        <v>18155.91</v>
      </c>
      <c r="ED33" s="392">
        <v>23894.351999999999</v>
      </c>
      <c r="EE33" s="392">
        <v>26460.924000000003</v>
      </c>
      <c r="EF33" s="392">
        <v>29595.023999999998</v>
      </c>
      <c r="EG33" s="392">
        <v>28722.21</v>
      </c>
      <c r="EH33" s="392">
        <v>31934.976000000002</v>
      </c>
      <c r="EI33" s="392">
        <v>31141.776000000002</v>
      </c>
      <c r="EJ33" s="392">
        <v>33375.96</v>
      </c>
      <c r="EK33" s="392">
        <v>34708.127999999997</v>
      </c>
      <c r="EL33" s="392">
        <v>32130.281999999999</v>
      </c>
      <c r="EM33" s="392">
        <v>32215.097999999998</v>
      </c>
      <c r="EN33" s="392">
        <v>30748.5</v>
      </c>
      <c r="EO33" s="392">
        <v>29524.763999999999</v>
      </c>
      <c r="EP33" s="392">
        <v>32154.498</v>
      </c>
      <c r="EQ33" s="392">
        <v>35324.976000000002</v>
      </c>
      <c r="ER33" s="392">
        <v>34732.727999999996</v>
      </c>
      <c r="ES33" s="392">
        <v>37023.372000000003</v>
      </c>
      <c r="ET33" s="392">
        <v>35072.118000000002</v>
      </c>
      <c r="EU33" s="392">
        <v>34921.254000000001</v>
      </c>
      <c r="EV33" s="392">
        <v>37837.542000000001</v>
      </c>
      <c r="EW33" s="392">
        <v>40696.085999999996</v>
      </c>
      <c r="EX33" s="392">
        <v>36046.457999999999</v>
      </c>
      <c r="EY33" s="392">
        <v>36272.112000000001</v>
      </c>
      <c r="EZ33" s="392">
        <v>34592.58</v>
      </c>
      <c r="FA33" s="392">
        <v>29373.39</v>
      </c>
      <c r="FB33" s="392">
        <v>29500.103999999999</v>
      </c>
      <c r="FC33" s="392">
        <v>30513.708000000002</v>
      </c>
      <c r="FD33" s="392">
        <v>34769.411999999997</v>
      </c>
      <c r="FE33" s="392">
        <v>33303.551999999996</v>
      </c>
      <c r="FF33" s="392">
        <v>35361.408000000003</v>
      </c>
      <c r="FG33" s="392">
        <v>32915.364000000001</v>
      </c>
      <c r="FH33" s="392">
        <v>32799.263999999996</v>
      </c>
      <c r="FI33" s="392">
        <v>32896.487999999998</v>
      </c>
      <c r="FJ33" s="392">
        <v>32751.347999999998</v>
      </c>
      <c r="FK33" s="392">
        <v>34903.122000000003</v>
      </c>
      <c r="FL33" s="392">
        <v>33676.614000000001</v>
      </c>
      <c r="FM33" s="392">
        <v>29421.42</v>
      </c>
      <c r="FN33" s="392">
        <v>28611.498</v>
      </c>
      <c r="FO33" s="392">
        <v>28600.212</v>
      </c>
      <c r="FP33" s="392">
        <v>30166.973999999998</v>
      </c>
      <c r="FQ33" s="392">
        <v>28298.801999999996</v>
      </c>
      <c r="FR33" s="392">
        <v>27830.226000000002</v>
      </c>
      <c r="FS33" s="392">
        <v>27463.02</v>
      </c>
      <c r="FT33" s="392">
        <v>28050.408000000003</v>
      </c>
      <c r="FU33" s="392">
        <v>28203.822</v>
      </c>
      <c r="FV33" s="392">
        <v>28550.879999999997</v>
      </c>
      <c r="FW33" s="392">
        <v>27579.995999999999</v>
      </c>
      <c r="FX33" s="392">
        <v>26091.75</v>
      </c>
      <c r="FY33" s="392">
        <v>24252.971999999998</v>
      </c>
      <c r="FZ33" s="392">
        <v>22956.408000000003</v>
      </c>
      <c r="GA33" s="392">
        <v>23079.768</v>
      </c>
      <c r="GB33" s="392">
        <v>21689.004000000001</v>
      </c>
      <c r="GC33" s="392">
        <v>21674.531999999999</v>
      </c>
      <c r="GD33" s="392">
        <v>22990.421999999999</v>
      </c>
      <c r="GE33" s="392">
        <v>20928.78</v>
      </c>
      <c r="GF33" s="392">
        <v>23276.934000000001</v>
      </c>
      <c r="GG33" s="392">
        <v>22682.400000000001</v>
      </c>
      <c r="GH33" s="392">
        <v>20118.653999999999</v>
      </c>
      <c r="GI33" s="392">
        <v>21249.402000000002</v>
      </c>
      <c r="GJ33" s="392">
        <v>22831.667999999998</v>
      </c>
      <c r="GK33" s="392">
        <v>19753.002</v>
      </c>
      <c r="GL33" s="392">
        <v>20785.091999999997</v>
      </c>
      <c r="GM33" s="392">
        <v>21518.165999999997</v>
      </c>
      <c r="GN33" s="392">
        <v>20540.993999999999</v>
      </c>
      <c r="GO33" s="392">
        <v>21585.137999999999</v>
      </c>
      <c r="GP33" s="392">
        <v>22056.84</v>
      </c>
      <c r="GQ33" s="392">
        <v>20678.670000000002</v>
      </c>
      <c r="GR33" s="392">
        <v>22408.403999999999</v>
      </c>
      <c r="GS33" s="392">
        <v>21422.856</v>
      </c>
      <c r="GT33" s="392">
        <v>21321.966</v>
      </c>
      <c r="GU33" s="392">
        <v>22151.784</v>
      </c>
      <c r="GV33" s="392">
        <v>22317.54</v>
      </c>
      <c r="GW33" s="392">
        <v>19856.964</v>
      </c>
      <c r="GX33" s="392">
        <v>19410.599999999999</v>
      </c>
      <c r="GY33" s="392">
        <v>20966.405999999999</v>
      </c>
      <c r="GZ33" s="392">
        <v>22250.016</v>
      </c>
      <c r="HA33" s="392">
        <v>21886.260000000002</v>
      </c>
      <c r="HB33" s="392">
        <v>22585.392</v>
      </c>
      <c r="HC33" s="392">
        <v>21497.921999999999</v>
      </c>
      <c r="HD33" s="392">
        <v>23999.597999999998</v>
      </c>
      <c r="HE33" s="392">
        <v>23693.082000000002</v>
      </c>
      <c r="HF33" s="392">
        <v>22623.96</v>
      </c>
      <c r="HG33" s="392">
        <v>24436.547999999999</v>
      </c>
      <c r="HH33" s="392">
        <v>24460.362000000001</v>
      </c>
      <c r="HI33" s="392">
        <v>21814.65</v>
      </c>
      <c r="HJ33" s="392">
        <v>23591.19</v>
      </c>
      <c r="HK33" s="392">
        <v>23529.522000000001</v>
      </c>
      <c r="HL33" s="392">
        <v>23641.511999999999</v>
      </c>
      <c r="HM33" s="392">
        <v>26036.634000000002</v>
      </c>
      <c r="HN33" s="392">
        <v>27088.385999999999</v>
      </c>
      <c r="HO33" s="392">
        <v>25225.188000000002</v>
      </c>
      <c r="HP33" s="444">
        <v>29404.044000000002</v>
      </c>
      <c r="HQ33" s="444">
        <v>28158.546000000002</v>
      </c>
      <c r="HR33" s="444">
        <v>27540.192000000003</v>
      </c>
      <c r="HS33" s="444">
        <v>29538.131999999998</v>
      </c>
      <c r="HT33" s="444">
        <v>30048.017999999996</v>
      </c>
      <c r="HU33" s="444">
        <v>25585.608</v>
      </c>
      <c r="HV33" s="392">
        <v>28077.629999999997</v>
      </c>
      <c r="HW33" s="392">
        <v>30521.909999999996</v>
      </c>
      <c r="HX33" s="392">
        <v>31722.149999999998</v>
      </c>
      <c r="HY33" s="392">
        <v>30750.828000000001</v>
      </c>
      <c r="HZ33" s="392">
        <v>32591.652000000002</v>
      </c>
      <c r="IA33" s="392">
        <v>33587.58</v>
      </c>
      <c r="IB33" s="392">
        <v>35326.433999999994</v>
      </c>
      <c r="IC33" s="392">
        <v>35939.100000000006</v>
      </c>
      <c r="ID33" s="392">
        <v>35922.822</v>
      </c>
      <c r="IE33" s="392">
        <v>36467.057999999997</v>
      </c>
      <c r="IF33" s="392">
        <v>37790.046000000002</v>
      </c>
      <c r="IG33" s="392">
        <v>31210.056000000004</v>
      </c>
      <c r="IH33" s="392">
        <v>33773.741999999998</v>
      </c>
      <c r="II33" s="392">
        <v>33721.152000000002</v>
      </c>
      <c r="IJ33" s="392">
        <v>38515.134000000005</v>
      </c>
      <c r="IK33" s="392">
        <v>36948.227999999996</v>
      </c>
      <c r="IL33" s="392">
        <v>37353.966</v>
      </c>
      <c r="IM33" s="392">
        <v>36995.664000000004</v>
      </c>
      <c r="IN33" s="444">
        <v>35650.350000000006</v>
      </c>
      <c r="IO33" s="444">
        <v>37758.186000000002</v>
      </c>
      <c r="IP33" s="444">
        <v>36880.673999999999</v>
      </c>
      <c r="IQ33" s="444">
        <v>35947.949999999997</v>
      </c>
      <c r="IR33" s="444">
        <v>36553.800000000003</v>
      </c>
      <c r="IS33" s="444">
        <v>30437.621999999999</v>
      </c>
      <c r="IT33" s="444">
        <v>31256.58</v>
      </c>
      <c r="IU33" s="444">
        <v>32229.347999999998</v>
      </c>
      <c r="IV33" s="444">
        <v>34520.622000000003</v>
      </c>
      <c r="IW33" s="445">
        <v>35177.99</v>
      </c>
      <c r="IX33" s="445">
        <v>35403.516000000003</v>
      </c>
      <c r="IY33" s="445">
        <v>33684.506000000001</v>
      </c>
      <c r="IZ33" s="445">
        <v>32439.308000000001</v>
      </c>
      <c r="JA33" s="445">
        <v>31713.067999999999</v>
      </c>
      <c r="JB33" s="445">
        <v>32309.46</v>
      </c>
      <c r="JC33" s="445">
        <v>30350.248</v>
      </c>
      <c r="JD33" s="445">
        <v>31937.124</v>
      </c>
      <c r="JE33" s="446">
        <v>34102.612000000001</v>
      </c>
    </row>
    <row r="34" spans="1:519" x14ac:dyDescent="0.3">
      <c r="A34" s="394" t="s">
        <v>89</v>
      </c>
      <c r="B34" s="395">
        <v>199.572</v>
      </c>
      <c r="C34" s="395">
        <v>211.65600000000001</v>
      </c>
      <c r="D34" s="395">
        <v>311.85599999999999</v>
      </c>
      <c r="E34" s="395">
        <v>277.80600000000004</v>
      </c>
      <c r="F34" s="395">
        <v>326.76599999999996</v>
      </c>
      <c r="G34" s="395">
        <v>419.52</v>
      </c>
      <c r="H34" s="395">
        <v>330.45600000000002</v>
      </c>
      <c r="I34" s="395">
        <v>457.84199999999998</v>
      </c>
      <c r="J34" s="395">
        <v>734.94600000000003</v>
      </c>
      <c r="K34" s="395">
        <v>722.61</v>
      </c>
      <c r="L34" s="395">
        <v>762.71399999999994</v>
      </c>
      <c r="M34" s="395">
        <v>571.78800000000001</v>
      </c>
      <c r="N34" s="395">
        <v>734.04</v>
      </c>
      <c r="O34" s="395">
        <v>496.26599999999996</v>
      </c>
      <c r="P34" s="395">
        <v>418.64400000000001</v>
      </c>
      <c r="Q34" s="395">
        <v>347.04599999999999</v>
      </c>
      <c r="R34" s="395">
        <v>356.61</v>
      </c>
      <c r="S34" s="395">
        <v>375.79199999999997</v>
      </c>
      <c r="T34" s="395">
        <v>302.00400000000002</v>
      </c>
      <c r="U34" s="395">
        <v>294.13200000000001</v>
      </c>
      <c r="V34" s="395">
        <v>327.37800000000004</v>
      </c>
      <c r="W34" s="395">
        <v>263.82599999999996</v>
      </c>
      <c r="X34" s="395">
        <v>229.83599999999998</v>
      </c>
      <c r="Y34" s="395">
        <v>166.03200000000001</v>
      </c>
      <c r="Z34" s="395">
        <v>226.512</v>
      </c>
      <c r="AA34" s="395">
        <v>214.93799999999999</v>
      </c>
      <c r="AB34" s="395">
        <v>268.572</v>
      </c>
      <c r="AC34" s="395">
        <v>225.42000000000002</v>
      </c>
      <c r="AD34" s="395">
        <v>264.20999999999998</v>
      </c>
      <c r="AE34" s="395">
        <v>322.26599999999996</v>
      </c>
      <c r="AF34" s="395">
        <v>346.69200000000001</v>
      </c>
      <c r="AG34" s="395">
        <v>335.82599999999996</v>
      </c>
      <c r="AH34" s="395">
        <v>375.63</v>
      </c>
      <c r="AI34" s="395">
        <v>321.93599999999998</v>
      </c>
      <c r="AJ34" s="395">
        <v>323.346</v>
      </c>
      <c r="AK34" s="395">
        <v>344.50200000000001</v>
      </c>
      <c r="AL34" s="395">
        <v>301.43399999999997</v>
      </c>
      <c r="AM34" s="395">
        <v>347.142</v>
      </c>
      <c r="AN34" s="395">
        <v>430.404</v>
      </c>
      <c r="AO34" s="395">
        <v>334.21199999999999</v>
      </c>
      <c r="AP34" s="395">
        <v>350.62800000000004</v>
      </c>
      <c r="AQ34" s="395">
        <v>367.476</v>
      </c>
      <c r="AR34" s="395">
        <v>304.82400000000001</v>
      </c>
      <c r="AS34" s="395">
        <v>293.54999999999995</v>
      </c>
      <c r="AT34" s="395">
        <v>291.25799999999998</v>
      </c>
      <c r="AU34" s="395">
        <v>300.13800000000003</v>
      </c>
      <c r="AV34" s="395">
        <v>322.42200000000003</v>
      </c>
      <c r="AW34" s="395">
        <v>401.59800000000007</v>
      </c>
      <c r="AX34" s="395">
        <v>344.59199999999998</v>
      </c>
      <c r="AY34" s="395">
        <v>391.84199999999998</v>
      </c>
      <c r="AZ34" s="395">
        <v>518.56200000000001</v>
      </c>
      <c r="BA34" s="395">
        <v>398.26800000000003</v>
      </c>
      <c r="BB34" s="395">
        <v>497.49</v>
      </c>
      <c r="BC34" s="395">
        <v>503.09400000000005</v>
      </c>
      <c r="BD34" s="395">
        <v>389.02799999999996</v>
      </c>
      <c r="BE34" s="395">
        <v>402.846</v>
      </c>
      <c r="BF34" s="395">
        <v>415.64400000000001</v>
      </c>
      <c r="BG34" s="395">
        <v>409.44600000000003</v>
      </c>
      <c r="BH34" s="395">
        <v>422.226</v>
      </c>
      <c r="BI34" s="395">
        <v>431.91600000000005</v>
      </c>
      <c r="BJ34" s="395">
        <v>369.46800000000002</v>
      </c>
      <c r="BK34" s="395">
        <v>388.87800000000004</v>
      </c>
      <c r="BL34" s="395">
        <v>405.55799999999999</v>
      </c>
      <c r="BM34" s="395">
        <v>302.02200000000005</v>
      </c>
      <c r="BN34" s="395">
        <v>320.85599999999999</v>
      </c>
      <c r="BO34" s="395">
        <v>375.62400000000002</v>
      </c>
      <c r="BP34" s="395">
        <v>290.346</v>
      </c>
      <c r="BQ34" s="395">
        <v>254.92200000000003</v>
      </c>
      <c r="BR34" s="395">
        <v>284.77200000000005</v>
      </c>
      <c r="BS34" s="395">
        <v>221.43</v>
      </c>
      <c r="BT34" s="395">
        <v>212.286</v>
      </c>
      <c r="BU34" s="395">
        <v>222.90600000000001</v>
      </c>
      <c r="BV34" s="395">
        <v>201.94199999999998</v>
      </c>
      <c r="BW34" s="395">
        <v>210.99</v>
      </c>
      <c r="BX34" s="395">
        <v>130.15800000000002</v>
      </c>
      <c r="BY34" s="395">
        <v>132.15600000000001</v>
      </c>
      <c r="BZ34" s="395">
        <v>209.01</v>
      </c>
      <c r="CA34" s="395">
        <v>277.57799999999997</v>
      </c>
      <c r="CB34" s="395">
        <v>265.93799999999999</v>
      </c>
      <c r="CC34" s="395">
        <v>155.11199999999999</v>
      </c>
      <c r="CD34" s="395">
        <v>282.18</v>
      </c>
      <c r="CE34" s="395">
        <v>225.97799999999998</v>
      </c>
      <c r="CF34" s="395">
        <v>376.464</v>
      </c>
      <c r="CG34" s="395">
        <v>313.55399999999997</v>
      </c>
      <c r="CH34" s="395">
        <v>260.93399999999997</v>
      </c>
      <c r="CI34" s="395">
        <v>309.25200000000001</v>
      </c>
      <c r="CJ34" s="395">
        <v>330.54599999999999</v>
      </c>
      <c r="CK34" s="395">
        <v>258.69600000000003</v>
      </c>
      <c r="CL34" s="395">
        <v>274.87800000000004</v>
      </c>
      <c r="CM34" s="395">
        <v>329.64600000000002</v>
      </c>
      <c r="CN34" s="395">
        <v>246.55199999999999</v>
      </c>
      <c r="CO34" s="395">
        <v>246.89400000000001</v>
      </c>
      <c r="CP34" s="395">
        <v>292.17599999999999</v>
      </c>
      <c r="CQ34" s="395">
        <v>258.14400000000001</v>
      </c>
      <c r="CR34" s="395">
        <v>274.40999999999997</v>
      </c>
      <c r="CS34" s="395">
        <v>258.61799999999999</v>
      </c>
      <c r="CT34" s="395">
        <v>107.08200000000001</v>
      </c>
      <c r="CU34" s="395">
        <v>88.158000000000001</v>
      </c>
      <c r="CV34" s="395">
        <v>126.37200000000001</v>
      </c>
      <c r="CW34" s="395">
        <v>106.518</v>
      </c>
      <c r="CX34" s="395">
        <v>105.756</v>
      </c>
      <c r="CY34" s="395">
        <v>123.648</v>
      </c>
      <c r="CZ34" s="395">
        <v>100.38600000000001</v>
      </c>
      <c r="DA34" s="395">
        <v>106.866</v>
      </c>
      <c r="DB34" s="395">
        <v>123.366</v>
      </c>
      <c r="DC34" s="395">
        <v>101.62200000000001</v>
      </c>
      <c r="DD34" s="395">
        <v>125.09399999999999</v>
      </c>
      <c r="DE34" s="395">
        <v>156.49799999999999</v>
      </c>
      <c r="DF34" s="395">
        <v>180.31800000000001</v>
      </c>
      <c r="DG34" s="395">
        <v>210.87</v>
      </c>
      <c r="DH34" s="395">
        <v>280.23599999999999</v>
      </c>
      <c r="DI34" s="395">
        <v>306.59399999999999</v>
      </c>
      <c r="DJ34" s="395">
        <v>308.358</v>
      </c>
      <c r="DK34" s="395">
        <v>386.65199999999993</v>
      </c>
      <c r="DL34" s="395">
        <v>415.87800000000004</v>
      </c>
      <c r="DM34" s="395">
        <v>458.80200000000002</v>
      </c>
      <c r="DN34" s="395">
        <v>388.13399999999996</v>
      </c>
      <c r="DO34" s="395">
        <v>280.66800000000001</v>
      </c>
      <c r="DP34" s="395">
        <v>274.02</v>
      </c>
      <c r="DQ34" s="395">
        <v>264.87599999999998</v>
      </c>
      <c r="DR34" s="395">
        <v>221.25</v>
      </c>
      <c r="DS34" s="395">
        <v>240.51599999999999</v>
      </c>
      <c r="DT34" s="395">
        <v>328.13400000000001</v>
      </c>
      <c r="DU34" s="395">
        <v>322.77</v>
      </c>
      <c r="DV34" s="395">
        <v>340.07400000000001</v>
      </c>
      <c r="DW34" s="395">
        <v>460.29</v>
      </c>
      <c r="DX34" s="395">
        <v>414.03</v>
      </c>
      <c r="DY34" s="395">
        <v>416.64</v>
      </c>
      <c r="DZ34" s="395">
        <v>451.476</v>
      </c>
      <c r="EA34" s="395">
        <v>435.73199999999997</v>
      </c>
      <c r="EB34" s="395">
        <v>449.84999999999997</v>
      </c>
      <c r="EC34" s="395">
        <v>471.108</v>
      </c>
      <c r="ED34" s="395">
        <v>489.58199999999999</v>
      </c>
      <c r="EE34" s="395">
        <v>435.60599999999999</v>
      </c>
      <c r="EF34" s="395">
        <v>473.976</v>
      </c>
      <c r="EG34" s="395">
        <v>461.964</v>
      </c>
      <c r="EH34" s="395">
        <v>537.73800000000006</v>
      </c>
      <c r="EI34" s="395">
        <v>482.54999999999995</v>
      </c>
      <c r="EJ34" s="395">
        <v>354.52800000000002</v>
      </c>
      <c r="EK34" s="395">
        <v>207.732</v>
      </c>
      <c r="EL34" s="395">
        <v>204.642</v>
      </c>
      <c r="EM34" s="395">
        <v>164.25</v>
      </c>
      <c r="EN34" s="395">
        <v>150.66</v>
      </c>
      <c r="EO34" s="395">
        <v>169.63800000000001</v>
      </c>
      <c r="EP34" s="395">
        <v>148.20600000000002</v>
      </c>
      <c r="EQ34" s="395">
        <v>159.34199999999998</v>
      </c>
      <c r="ER34" s="395">
        <v>176.922</v>
      </c>
      <c r="ES34" s="395">
        <v>168.35999999999999</v>
      </c>
      <c r="ET34" s="395">
        <v>156.36599999999999</v>
      </c>
      <c r="EU34" s="395">
        <v>176.65199999999999</v>
      </c>
      <c r="EV34" s="395">
        <v>151.608</v>
      </c>
      <c r="EW34" s="395">
        <v>163.62</v>
      </c>
      <c r="EX34" s="395">
        <v>196.512</v>
      </c>
      <c r="EY34" s="395">
        <v>184.94400000000002</v>
      </c>
      <c r="EZ34" s="395">
        <v>187.84800000000001</v>
      </c>
      <c r="FA34" s="395">
        <v>175.61399999999998</v>
      </c>
      <c r="FB34" s="395">
        <v>172.446</v>
      </c>
      <c r="FC34" s="395">
        <v>173.79</v>
      </c>
      <c r="FD34" s="395">
        <v>175.15199999999999</v>
      </c>
      <c r="FE34" s="395">
        <v>192.28199999999998</v>
      </c>
      <c r="FF34" s="395">
        <v>191.86199999999999</v>
      </c>
      <c r="FG34" s="395">
        <v>173.02199999999999</v>
      </c>
      <c r="FH34" s="395">
        <v>182.60400000000001</v>
      </c>
      <c r="FI34" s="395">
        <v>163.392</v>
      </c>
      <c r="FJ34" s="395">
        <v>153.53399999999999</v>
      </c>
      <c r="FK34" s="395">
        <v>175.22399999999999</v>
      </c>
      <c r="FL34" s="395">
        <v>188.85599999999999</v>
      </c>
      <c r="FM34" s="395">
        <v>166.33799999999999</v>
      </c>
      <c r="FN34" s="395">
        <v>157.93199999999999</v>
      </c>
      <c r="FO34" s="395">
        <v>182.22</v>
      </c>
      <c r="FP34" s="395">
        <v>196.11</v>
      </c>
      <c r="FQ34" s="395">
        <v>170.40600000000001</v>
      </c>
      <c r="FR34" s="395">
        <v>151.25399999999999</v>
      </c>
      <c r="FS34" s="395">
        <v>147.56400000000002</v>
      </c>
      <c r="FT34" s="395">
        <v>156.19800000000001</v>
      </c>
      <c r="FU34" s="395">
        <v>145.554</v>
      </c>
      <c r="FV34" s="395">
        <v>155.71799999999999</v>
      </c>
      <c r="FW34" s="395">
        <v>176.79</v>
      </c>
      <c r="FX34" s="395">
        <v>231.23400000000001</v>
      </c>
      <c r="FY34" s="395">
        <v>142.14000000000001</v>
      </c>
      <c r="FZ34" s="395">
        <v>133.35000000000002</v>
      </c>
      <c r="GA34" s="395">
        <v>167.74200000000002</v>
      </c>
      <c r="GB34" s="395">
        <v>199.89600000000002</v>
      </c>
      <c r="GC34" s="395">
        <v>202.78800000000001</v>
      </c>
      <c r="GD34" s="395">
        <v>243.97199999999998</v>
      </c>
      <c r="GE34" s="395">
        <v>268.06799999999998</v>
      </c>
      <c r="GF34" s="395">
        <v>491.73</v>
      </c>
      <c r="GG34" s="395">
        <v>578.81999999999994</v>
      </c>
      <c r="GH34" s="395">
        <v>541.87199999999996</v>
      </c>
      <c r="GI34" s="395">
        <v>544.524</v>
      </c>
      <c r="GJ34" s="395">
        <v>449.70000000000005</v>
      </c>
      <c r="GK34" s="395">
        <v>439.56000000000006</v>
      </c>
      <c r="GL34" s="395">
        <v>456.726</v>
      </c>
      <c r="GM34" s="395">
        <v>515.5440000000001</v>
      </c>
      <c r="GN34" s="395">
        <v>716.74199999999996</v>
      </c>
      <c r="GO34" s="395">
        <v>879.24</v>
      </c>
      <c r="GP34" s="395">
        <v>930.14400000000001</v>
      </c>
      <c r="GQ34" s="395">
        <v>907.37999999999988</v>
      </c>
      <c r="GR34" s="395">
        <v>1019.7359999999999</v>
      </c>
      <c r="GS34" s="395">
        <v>1168.5120000000002</v>
      </c>
      <c r="GT34" s="395">
        <v>1257.3779999999999</v>
      </c>
      <c r="GU34" s="395">
        <v>1397.46</v>
      </c>
      <c r="GV34" s="395">
        <v>1561.098</v>
      </c>
      <c r="GW34" s="395">
        <v>1557.87</v>
      </c>
      <c r="GX34" s="395">
        <v>2009.9640000000002</v>
      </c>
      <c r="GY34" s="395">
        <v>2604.96</v>
      </c>
      <c r="GZ34" s="395">
        <v>3517.038</v>
      </c>
      <c r="HA34" s="395">
        <v>3407.652</v>
      </c>
      <c r="HB34" s="395">
        <v>3672.57</v>
      </c>
      <c r="HC34" s="395">
        <v>3432.8459999999995</v>
      </c>
      <c r="HD34" s="395">
        <v>3186.93</v>
      </c>
      <c r="HE34" s="395">
        <v>2701.9740000000002</v>
      </c>
      <c r="HF34" s="395">
        <v>2602.3319999999999</v>
      </c>
      <c r="HG34" s="395">
        <v>3224.3040000000001</v>
      </c>
      <c r="HH34" s="395">
        <v>3095.7779999999998</v>
      </c>
      <c r="HI34" s="395">
        <v>2744.1179999999999</v>
      </c>
      <c r="HJ34" s="395">
        <v>2768.826</v>
      </c>
      <c r="HK34" s="395">
        <v>2868.0540000000001</v>
      </c>
      <c r="HL34" s="395">
        <v>3074.5680000000002</v>
      </c>
      <c r="HM34" s="395">
        <v>2973.0540000000001</v>
      </c>
      <c r="HN34" s="395">
        <v>3267.3239999999996</v>
      </c>
      <c r="HO34" s="395">
        <v>3001.41</v>
      </c>
      <c r="HP34" s="395">
        <v>2569.788</v>
      </c>
      <c r="HQ34" s="395">
        <v>2179.5839999999998</v>
      </c>
      <c r="HR34" s="395">
        <v>1554.9180000000001</v>
      </c>
      <c r="HS34" s="395">
        <v>1338.864</v>
      </c>
      <c r="HT34" s="395">
        <v>1293.72</v>
      </c>
      <c r="HU34" s="395">
        <v>988.28399999999999</v>
      </c>
      <c r="HV34" s="395">
        <v>892.17</v>
      </c>
      <c r="HW34" s="395">
        <v>873.18000000000006</v>
      </c>
      <c r="HX34" s="395">
        <v>1099.4159999999999</v>
      </c>
      <c r="HY34" s="395">
        <v>1120.6500000000001</v>
      </c>
      <c r="HZ34" s="395">
        <v>1096.3799999999999</v>
      </c>
      <c r="IA34" s="395">
        <v>1023.6960000000001</v>
      </c>
      <c r="IB34" s="395">
        <v>1035.252</v>
      </c>
      <c r="IC34" s="395">
        <v>1020.078</v>
      </c>
      <c r="ID34" s="395">
        <v>1057.518</v>
      </c>
      <c r="IE34" s="395">
        <v>1121.922</v>
      </c>
      <c r="IF34" s="395">
        <v>874.73399999999992</v>
      </c>
      <c r="IG34" s="395">
        <v>896.66399999999999</v>
      </c>
      <c r="IH34" s="395">
        <v>884.55000000000007</v>
      </c>
      <c r="II34" s="395">
        <v>954.56399999999996</v>
      </c>
      <c r="IJ34" s="395">
        <v>1203.018</v>
      </c>
      <c r="IK34" s="395">
        <v>1239.6779999999999</v>
      </c>
      <c r="IL34" s="395">
        <v>1388.424</v>
      </c>
      <c r="IM34" s="395">
        <v>1601.8679999999999</v>
      </c>
      <c r="IN34" s="15">
        <v>1763.6100000000001</v>
      </c>
      <c r="IO34" s="15">
        <v>2006.8980000000001</v>
      </c>
      <c r="IP34" s="15">
        <v>2039.616</v>
      </c>
      <c r="IQ34" s="15">
        <v>2280.21</v>
      </c>
      <c r="IR34" s="15">
        <v>2282.0639999999999</v>
      </c>
      <c r="IS34" s="15">
        <v>2118.1619999999998</v>
      </c>
      <c r="IT34" s="15">
        <v>2379.63</v>
      </c>
      <c r="IU34" s="15">
        <v>2734.7219999999998</v>
      </c>
      <c r="IV34" s="15">
        <v>3074.2259999999997</v>
      </c>
      <c r="IW34" s="15">
        <v>3698.16</v>
      </c>
      <c r="IX34" s="15">
        <v>4388.9939999999997</v>
      </c>
      <c r="IY34" s="15">
        <v>5465.9859999999999</v>
      </c>
      <c r="IZ34" s="15">
        <v>6099.3959999999997</v>
      </c>
      <c r="JA34" s="15">
        <v>6903.558</v>
      </c>
      <c r="JB34" s="15">
        <v>7581.0079999999998</v>
      </c>
      <c r="JC34" s="15">
        <v>7363.1940000000004</v>
      </c>
      <c r="JD34" s="15">
        <v>7482.2359999999999</v>
      </c>
      <c r="JE34" s="447">
        <v>7756.3680000000004</v>
      </c>
    </row>
    <row r="35" spans="1:519" x14ac:dyDescent="0.3">
      <c r="A35" s="394" t="s">
        <v>90</v>
      </c>
      <c r="B35" s="392">
        <v>778.98</v>
      </c>
      <c r="C35" s="392">
        <v>780.43200000000002</v>
      </c>
      <c r="D35" s="392">
        <v>773.55599999999993</v>
      </c>
      <c r="E35" s="392">
        <v>800.97600000000011</v>
      </c>
      <c r="F35" s="392">
        <v>819.48599999999988</v>
      </c>
      <c r="G35" s="392">
        <v>1046.2439999999999</v>
      </c>
      <c r="H35" s="392">
        <v>869.22</v>
      </c>
      <c r="I35" s="392">
        <v>826.74</v>
      </c>
      <c r="J35" s="392">
        <v>610.524</v>
      </c>
      <c r="K35" s="392">
        <v>816.71399999999994</v>
      </c>
      <c r="L35" s="392">
        <v>846.30599999999993</v>
      </c>
      <c r="M35" s="392">
        <v>1019.328</v>
      </c>
      <c r="N35" s="392">
        <v>838.87200000000007</v>
      </c>
      <c r="O35" s="392">
        <v>943.0440000000001</v>
      </c>
      <c r="P35" s="392">
        <v>1470.9119999999998</v>
      </c>
      <c r="Q35" s="392">
        <v>1618.02</v>
      </c>
      <c r="R35" s="392">
        <v>1063.1759999999999</v>
      </c>
      <c r="S35" s="392">
        <v>927.3119999999999</v>
      </c>
      <c r="T35" s="392">
        <v>746.73599999999999</v>
      </c>
      <c r="U35" s="392">
        <v>742.77600000000007</v>
      </c>
      <c r="V35" s="392">
        <v>859.44600000000014</v>
      </c>
      <c r="W35" s="392">
        <v>758.43000000000006</v>
      </c>
      <c r="X35" s="392">
        <v>803.19</v>
      </c>
      <c r="Y35" s="392">
        <v>789.83999999999992</v>
      </c>
      <c r="Z35" s="392">
        <v>784.19400000000007</v>
      </c>
      <c r="AA35" s="392">
        <v>919.68600000000004</v>
      </c>
      <c r="AB35" s="392">
        <v>1228.7460000000001</v>
      </c>
      <c r="AC35" s="392">
        <v>970.80599999999993</v>
      </c>
      <c r="AD35" s="392">
        <v>956.61</v>
      </c>
      <c r="AE35" s="392">
        <v>897.81600000000003</v>
      </c>
      <c r="AF35" s="392">
        <v>1048.056</v>
      </c>
      <c r="AG35" s="392">
        <v>1214.7719999999999</v>
      </c>
      <c r="AH35" s="392">
        <v>998.76600000000008</v>
      </c>
      <c r="AI35" s="392">
        <v>1308.972</v>
      </c>
      <c r="AJ35" s="392">
        <v>1072.3020000000001</v>
      </c>
      <c r="AK35" s="392">
        <v>963.03600000000006</v>
      </c>
      <c r="AL35" s="392">
        <v>1355.46</v>
      </c>
      <c r="AM35" s="392">
        <v>1486.0619999999999</v>
      </c>
      <c r="AN35" s="392">
        <v>1431.402</v>
      </c>
      <c r="AO35" s="392">
        <v>1253.3700000000001</v>
      </c>
      <c r="AP35" s="392">
        <v>1241.9279999999999</v>
      </c>
      <c r="AQ35" s="392">
        <v>848.84399999999994</v>
      </c>
      <c r="AR35" s="392">
        <v>1480.7339999999999</v>
      </c>
      <c r="AS35" s="392">
        <v>1366.4939999999999</v>
      </c>
      <c r="AT35" s="392">
        <v>1102.3799999999999</v>
      </c>
      <c r="AU35" s="392">
        <v>1320.8340000000001</v>
      </c>
      <c r="AV35" s="392">
        <v>1093.164</v>
      </c>
      <c r="AW35" s="392">
        <v>1120.0740000000001</v>
      </c>
      <c r="AX35" s="392">
        <v>866.62200000000007</v>
      </c>
      <c r="AY35" s="392">
        <v>1021.716</v>
      </c>
      <c r="AZ35" s="392">
        <v>1095.2159999999999</v>
      </c>
      <c r="BA35" s="392">
        <v>1143.732</v>
      </c>
      <c r="BB35" s="392">
        <v>1022.4119999999999</v>
      </c>
      <c r="BC35" s="392">
        <v>1078.0319999999999</v>
      </c>
      <c r="BD35" s="392">
        <v>1138.3380000000002</v>
      </c>
      <c r="BE35" s="392">
        <v>1356.492</v>
      </c>
      <c r="BF35" s="392">
        <v>972.26400000000012</v>
      </c>
      <c r="BG35" s="392">
        <v>1072.2719999999999</v>
      </c>
      <c r="BH35" s="392">
        <v>1194.3240000000001</v>
      </c>
      <c r="BI35" s="392">
        <v>1101.48</v>
      </c>
      <c r="BJ35" s="392">
        <v>1250.5740000000001</v>
      </c>
      <c r="BK35" s="392">
        <v>1301.904</v>
      </c>
      <c r="BL35" s="392">
        <v>1286.0880000000002</v>
      </c>
      <c r="BM35" s="392">
        <v>1531.356</v>
      </c>
      <c r="BN35" s="392">
        <v>1454.922</v>
      </c>
      <c r="BO35" s="392">
        <v>1162.518</v>
      </c>
      <c r="BP35" s="392">
        <v>1122.48</v>
      </c>
      <c r="BQ35" s="392">
        <v>1228.92</v>
      </c>
      <c r="BR35" s="392">
        <v>1079.904</v>
      </c>
      <c r="BS35" s="392">
        <v>1015.9259999999999</v>
      </c>
      <c r="BT35" s="392">
        <v>1074.5340000000001</v>
      </c>
      <c r="BU35" s="392">
        <v>941.92200000000003</v>
      </c>
      <c r="BV35" s="392">
        <v>1327.4760000000001</v>
      </c>
      <c r="BW35" s="392">
        <v>1095.8879999999999</v>
      </c>
      <c r="BX35" s="392">
        <v>1212.96</v>
      </c>
      <c r="BY35" s="392">
        <v>1140.8579999999999</v>
      </c>
      <c r="BZ35" s="392">
        <v>1072.9259999999999</v>
      </c>
      <c r="CA35" s="392">
        <v>1393.086</v>
      </c>
      <c r="CB35" s="392">
        <v>1253.1120000000001</v>
      </c>
      <c r="CC35" s="392">
        <v>830.33999999999992</v>
      </c>
      <c r="CD35" s="392">
        <v>953.38799999999992</v>
      </c>
      <c r="CE35" s="392">
        <v>1021.002</v>
      </c>
      <c r="CF35" s="392">
        <v>1213.9559999999999</v>
      </c>
      <c r="CG35" s="392">
        <v>998.37000000000012</v>
      </c>
      <c r="CH35" s="392">
        <v>1219.6379999999999</v>
      </c>
      <c r="CI35" s="392">
        <v>1470.2940000000001</v>
      </c>
      <c r="CJ35" s="392">
        <v>1076.6100000000001</v>
      </c>
      <c r="CK35" s="392">
        <v>1118.712</v>
      </c>
      <c r="CL35" s="392">
        <v>1031.8499999999999</v>
      </c>
      <c r="CM35" s="392">
        <v>956.89200000000005</v>
      </c>
      <c r="CN35" s="392">
        <v>1050.5639999999999</v>
      </c>
      <c r="CO35" s="392">
        <v>842.65200000000004</v>
      </c>
      <c r="CP35" s="392">
        <v>868.47</v>
      </c>
      <c r="CQ35" s="392">
        <v>993.30000000000007</v>
      </c>
      <c r="CR35" s="392">
        <v>1066.4279999999999</v>
      </c>
      <c r="CS35" s="392">
        <v>1185.318</v>
      </c>
      <c r="CT35" s="392">
        <v>1000.1940000000001</v>
      </c>
      <c r="CU35" s="392">
        <v>944.37000000000012</v>
      </c>
      <c r="CV35" s="392">
        <v>1063.6979999999999</v>
      </c>
      <c r="CW35" s="392">
        <v>1143</v>
      </c>
      <c r="CX35" s="392">
        <v>997.29</v>
      </c>
      <c r="CY35" s="392">
        <v>896.5440000000001</v>
      </c>
      <c r="CZ35" s="392">
        <v>891.93000000000006</v>
      </c>
      <c r="DA35" s="392">
        <v>657</v>
      </c>
      <c r="DB35" s="392">
        <v>669.05399999999997</v>
      </c>
      <c r="DC35" s="392">
        <v>774.34799999999996</v>
      </c>
      <c r="DD35" s="392">
        <v>636.49800000000005</v>
      </c>
      <c r="DE35" s="392">
        <v>704.06999999999994</v>
      </c>
      <c r="DF35" s="392">
        <v>672.94200000000001</v>
      </c>
      <c r="DG35" s="392">
        <v>685.36200000000008</v>
      </c>
      <c r="DH35" s="392">
        <v>751.50600000000009</v>
      </c>
      <c r="DI35" s="392">
        <v>667.88400000000001</v>
      </c>
      <c r="DJ35" s="392">
        <v>674.57400000000007</v>
      </c>
      <c r="DK35" s="392">
        <v>603.36</v>
      </c>
      <c r="DL35" s="392">
        <v>475.33799999999997</v>
      </c>
      <c r="DM35" s="392">
        <v>429.76800000000003</v>
      </c>
      <c r="DN35" s="392">
        <v>432.01199999999994</v>
      </c>
      <c r="DO35" s="392">
        <v>493.72200000000004</v>
      </c>
      <c r="DP35" s="392">
        <v>956.84999999999991</v>
      </c>
      <c r="DQ35" s="392">
        <v>463.95599999999996</v>
      </c>
      <c r="DR35" s="392">
        <v>490.428</v>
      </c>
      <c r="DS35" s="392">
        <v>588.048</v>
      </c>
      <c r="DT35" s="392">
        <v>650.06399999999996</v>
      </c>
      <c r="DU35" s="392">
        <v>598.16399999999999</v>
      </c>
      <c r="DV35" s="392">
        <v>826.21800000000007</v>
      </c>
      <c r="DW35" s="392">
        <v>654.68399999999997</v>
      </c>
      <c r="DX35" s="392">
        <v>701.24399999999991</v>
      </c>
      <c r="DY35" s="392">
        <v>783.94200000000001</v>
      </c>
      <c r="DZ35" s="392">
        <v>939.42</v>
      </c>
      <c r="EA35" s="392">
        <v>939.88799999999992</v>
      </c>
      <c r="EB35" s="392">
        <v>965.31600000000003</v>
      </c>
      <c r="EC35" s="392">
        <v>847.404</v>
      </c>
      <c r="ED35" s="392">
        <v>859.80599999999993</v>
      </c>
      <c r="EE35" s="392">
        <v>1439.154</v>
      </c>
      <c r="EF35" s="392">
        <v>1297.836</v>
      </c>
      <c r="EG35" s="392">
        <v>908.74800000000005</v>
      </c>
      <c r="EH35" s="392">
        <v>1287.7560000000001</v>
      </c>
      <c r="EI35" s="392">
        <v>908.04600000000005</v>
      </c>
      <c r="EJ35" s="392">
        <v>861.12599999999998</v>
      </c>
      <c r="EK35" s="392">
        <v>932.41199999999992</v>
      </c>
      <c r="EL35" s="392">
        <v>728.78399999999999</v>
      </c>
      <c r="EM35" s="392">
        <v>865.26600000000008</v>
      </c>
      <c r="EN35" s="392">
        <v>811.22400000000005</v>
      </c>
      <c r="EO35" s="392">
        <v>771.50400000000002</v>
      </c>
      <c r="EP35" s="392">
        <v>812.23799999999994</v>
      </c>
      <c r="EQ35" s="392">
        <v>846.85199999999998</v>
      </c>
      <c r="ER35" s="392">
        <v>788.178</v>
      </c>
      <c r="ES35" s="392">
        <v>813.72</v>
      </c>
      <c r="ET35" s="392">
        <v>693.59999999999991</v>
      </c>
      <c r="EU35" s="392">
        <v>533.16600000000005</v>
      </c>
      <c r="EV35" s="392">
        <v>575.69399999999996</v>
      </c>
      <c r="EW35" s="392">
        <v>518.57400000000007</v>
      </c>
      <c r="EX35" s="392">
        <v>550.54200000000003</v>
      </c>
      <c r="EY35" s="392">
        <v>565.51800000000003</v>
      </c>
      <c r="EZ35" s="392">
        <v>733.06200000000001</v>
      </c>
      <c r="FA35" s="392">
        <v>656.36400000000003</v>
      </c>
      <c r="FB35" s="392">
        <v>672.73199999999997</v>
      </c>
      <c r="FC35" s="392">
        <v>747.24599999999998</v>
      </c>
      <c r="FD35" s="392">
        <v>1233.9119999999998</v>
      </c>
      <c r="FE35" s="392">
        <v>672.28800000000001</v>
      </c>
      <c r="FF35" s="392">
        <v>610.33799999999997</v>
      </c>
      <c r="FG35" s="392">
        <v>419.68200000000002</v>
      </c>
      <c r="FH35" s="392">
        <v>473.25</v>
      </c>
      <c r="FI35" s="392">
        <v>510.76199999999994</v>
      </c>
      <c r="FJ35" s="392">
        <v>514.05600000000004</v>
      </c>
      <c r="FK35" s="392">
        <v>572.25600000000009</v>
      </c>
      <c r="FL35" s="392">
        <v>587.59800000000007</v>
      </c>
      <c r="FM35" s="392">
        <v>565.03800000000001</v>
      </c>
      <c r="FN35" s="392">
        <v>690.13200000000006</v>
      </c>
      <c r="FO35" s="392">
        <v>643.16999999999996</v>
      </c>
      <c r="FP35" s="392">
        <v>778.23</v>
      </c>
      <c r="FQ35" s="392">
        <v>681.60599999999999</v>
      </c>
      <c r="FR35" s="392">
        <v>725.49</v>
      </c>
      <c r="FS35" s="392">
        <v>691.07400000000007</v>
      </c>
      <c r="FT35" s="392">
        <v>712.87800000000004</v>
      </c>
      <c r="FU35" s="392">
        <v>696.76800000000003</v>
      </c>
      <c r="FV35" s="392">
        <v>711.87</v>
      </c>
      <c r="FW35" s="392">
        <v>670.48199999999997</v>
      </c>
      <c r="FX35" s="392">
        <v>648.34199999999998</v>
      </c>
      <c r="FY35" s="392">
        <v>474.63</v>
      </c>
      <c r="FZ35" s="392">
        <v>461.25600000000003</v>
      </c>
      <c r="GA35" s="392">
        <v>661.31399999999996</v>
      </c>
      <c r="GB35" s="392">
        <v>672.25199999999995</v>
      </c>
      <c r="GC35" s="392">
        <v>541.53600000000006</v>
      </c>
      <c r="GD35" s="392">
        <v>536.03399999999999</v>
      </c>
      <c r="GE35" s="392">
        <v>548.13599999999997</v>
      </c>
      <c r="GF35" s="392">
        <v>518.68200000000002</v>
      </c>
      <c r="GG35" s="392">
        <v>459.60599999999999</v>
      </c>
      <c r="GH35" s="392">
        <v>472.71</v>
      </c>
      <c r="GI35" s="392">
        <v>485.34000000000003</v>
      </c>
      <c r="GJ35" s="392">
        <v>545.60400000000004</v>
      </c>
      <c r="GK35" s="392">
        <v>463.20000000000005</v>
      </c>
      <c r="GL35" s="392">
        <v>519.49800000000005</v>
      </c>
      <c r="GM35" s="392">
        <v>565.08000000000004</v>
      </c>
      <c r="GN35" s="392">
        <v>674.16600000000005</v>
      </c>
      <c r="GO35" s="392">
        <v>556.31399999999996</v>
      </c>
      <c r="GP35" s="392">
        <v>564.06600000000003</v>
      </c>
      <c r="GQ35" s="392">
        <v>489.60599999999999</v>
      </c>
      <c r="GR35" s="392">
        <v>470.43600000000004</v>
      </c>
      <c r="GS35" s="392">
        <v>484.15199999999993</v>
      </c>
      <c r="GT35" s="392">
        <v>523.26599999999996</v>
      </c>
      <c r="GU35" s="392">
        <v>526.16999999999996</v>
      </c>
      <c r="GV35" s="392">
        <v>569.40000000000009</v>
      </c>
      <c r="GW35" s="392">
        <v>490.572</v>
      </c>
      <c r="GX35" s="392">
        <v>576.11400000000003</v>
      </c>
      <c r="GY35" s="392">
        <v>564.4559999999999</v>
      </c>
      <c r="GZ35" s="392">
        <v>863.14800000000002</v>
      </c>
      <c r="HA35" s="392">
        <v>964.75800000000004</v>
      </c>
      <c r="HB35" s="392">
        <v>937.87799999999993</v>
      </c>
      <c r="HC35" s="392">
        <v>975.19799999999987</v>
      </c>
      <c r="HD35" s="392">
        <v>993.18600000000004</v>
      </c>
      <c r="HE35" s="392">
        <v>987.58200000000011</v>
      </c>
      <c r="HF35" s="392">
        <v>1004.682</v>
      </c>
      <c r="HG35" s="392">
        <v>1263.576</v>
      </c>
      <c r="HH35" s="392">
        <v>1295.3879999999999</v>
      </c>
      <c r="HI35" s="392">
        <v>1090.1759999999999</v>
      </c>
      <c r="HJ35" s="392">
        <v>1210.5720000000001</v>
      </c>
      <c r="HK35" s="392">
        <v>1443.4559999999999</v>
      </c>
      <c r="HL35" s="392">
        <v>1380.498</v>
      </c>
      <c r="HM35" s="392">
        <v>975.72</v>
      </c>
      <c r="HN35" s="392">
        <v>1044.252</v>
      </c>
      <c r="HO35" s="392">
        <v>864.79200000000003</v>
      </c>
      <c r="HP35" s="444">
        <v>947.43000000000006</v>
      </c>
      <c r="HQ35" s="444">
        <v>878.79</v>
      </c>
      <c r="HR35" s="444">
        <v>864.26400000000012</v>
      </c>
      <c r="HS35" s="444">
        <v>1007.3579999999999</v>
      </c>
      <c r="HT35" s="444">
        <v>1072.098</v>
      </c>
      <c r="HU35" s="444">
        <v>940.19400000000007</v>
      </c>
      <c r="HV35" s="392">
        <v>1029.8220000000001</v>
      </c>
      <c r="HW35" s="392">
        <v>1121.4839999999999</v>
      </c>
      <c r="HX35" s="392">
        <v>1202.3519999999999</v>
      </c>
      <c r="HY35" s="392">
        <v>1064.076</v>
      </c>
      <c r="HZ35" s="392">
        <v>1128.558</v>
      </c>
      <c r="IA35" s="392">
        <v>1055.6999999999998</v>
      </c>
      <c r="IB35" s="392">
        <v>987.42</v>
      </c>
      <c r="IC35" s="392">
        <v>883.94999999999993</v>
      </c>
      <c r="ID35" s="392">
        <v>920.76600000000008</v>
      </c>
      <c r="IE35" s="392">
        <v>942.03600000000006</v>
      </c>
      <c r="IF35" s="392">
        <v>895.58400000000006</v>
      </c>
      <c r="IG35" s="392">
        <v>893.07600000000002</v>
      </c>
      <c r="IH35" s="392">
        <v>859.77</v>
      </c>
      <c r="II35" s="392">
        <v>855.4559999999999</v>
      </c>
      <c r="IJ35" s="392">
        <v>1017.5520000000001</v>
      </c>
      <c r="IK35" s="392">
        <v>1199.904</v>
      </c>
      <c r="IL35" s="392">
        <v>1067.79</v>
      </c>
      <c r="IM35" s="392">
        <v>975.04200000000003</v>
      </c>
      <c r="IN35" s="444">
        <v>953.23200000000008</v>
      </c>
      <c r="IO35" s="444">
        <v>1060.92</v>
      </c>
      <c r="IP35" s="444">
        <v>1100.22</v>
      </c>
      <c r="IQ35" s="444">
        <v>1268.232</v>
      </c>
      <c r="IR35" s="444">
        <v>1412.91</v>
      </c>
      <c r="IS35" s="444">
        <v>1249.146</v>
      </c>
      <c r="IT35" s="444">
        <v>1460.106</v>
      </c>
      <c r="IU35" s="444">
        <v>1502.6279999999999</v>
      </c>
      <c r="IV35" s="444">
        <v>1771.9679999999998</v>
      </c>
      <c r="IW35" s="445">
        <v>1750.182</v>
      </c>
      <c r="IX35" s="445">
        <v>1874.326</v>
      </c>
      <c r="IY35" s="445">
        <v>1850.9</v>
      </c>
      <c r="IZ35" s="445">
        <v>1464.338</v>
      </c>
      <c r="JA35" s="445">
        <v>1661.5340000000001</v>
      </c>
      <c r="JB35" s="445">
        <v>1642.114</v>
      </c>
      <c r="JC35" s="445">
        <v>1903.0719999999999</v>
      </c>
      <c r="JD35" s="445">
        <v>1460.2260000000001</v>
      </c>
      <c r="JE35" s="446">
        <v>1443.316</v>
      </c>
    </row>
    <row r="36" spans="1:519" x14ac:dyDescent="0.3">
      <c r="A36" s="394" t="s">
        <v>91</v>
      </c>
      <c r="B36" s="395">
        <v>2894.7</v>
      </c>
      <c r="C36" s="395">
        <v>2932.056</v>
      </c>
      <c r="D36" s="395">
        <v>4343.6819999999998</v>
      </c>
      <c r="E36" s="395">
        <v>2991.4740000000002</v>
      </c>
      <c r="F36" s="395">
        <v>3240.6540000000005</v>
      </c>
      <c r="G36" s="395">
        <v>3067.866</v>
      </c>
      <c r="H36" s="395">
        <v>3270.2999999999997</v>
      </c>
      <c r="I36" s="395">
        <v>3482.1179999999995</v>
      </c>
      <c r="J36" s="395">
        <v>3574.6859999999997</v>
      </c>
      <c r="K36" s="395">
        <v>3615.24</v>
      </c>
      <c r="L36" s="395">
        <v>3364.7820000000002</v>
      </c>
      <c r="M36" s="395">
        <v>2864.616</v>
      </c>
      <c r="N36" s="395">
        <v>2821.95</v>
      </c>
      <c r="O36" s="395">
        <v>2806.6499999999996</v>
      </c>
      <c r="P36" s="395">
        <v>3091.1760000000004</v>
      </c>
      <c r="Q36" s="395">
        <v>3492.8879999999999</v>
      </c>
      <c r="R36" s="395">
        <v>3389.7179999999998</v>
      </c>
      <c r="S36" s="395">
        <v>2814.8339999999998</v>
      </c>
      <c r="T36" s="395">
        <v>3415.4759999999997</v>
      </c>
      <c r="U36" s="395">
        <v>3562.8239999999996</v>
      </c>
      <c r="V36" s="395">
        <v>3330.6780000000003</v>
      </c>
      <c r="W36" s="395">
        <v>3256.8900000000003</v>
      </c>
      <c r="X36" s="395">
        <v>3501.57</v>
      </c>
      <c r="Y36" s="395">
        <v>3238.08</v>
      </c>
      <c r="Z36" s="395">
        <v>3197.4659999999994</v>
      </c>
      <c r="AA36" s="395">
        <v>3275.442</v>
      </c>
      <c r="AB36" s="395">
        <v>3609.2820000000002</v>
      </c>
      <c r="AC36" s="395">
        <v>3798.5219999999999</v>
      </c>
      <c r="AD36" s="395">
        <v>4403.5739999999996</v>
      </c>
      <c r="AE36" s="395">
        <v>3664.17</v>
      </c>
      <c r="AF36" s="395">
        <v>3562.902</v>
      </c>
      <c r="AG36" s="395">
        <v>3584.808</v>
      </c>
      <c r="AH36" s="395">
        <v>3474.8459999999995</v>
      </c>
      <c r="AI36" s="395">
        <v>3365.886</v>
      </c>
      <c r="AJ36" s="395">
        <v>3337.8420000000001</v>
      </c>
      <c r="AK36" s="395">
        <v>3106.9260000000004</v>
      </c>
      <c r="AL36" s="395">
        <v>3180.2339999999999</v>
      </c>
      <c r="AM36" s="395">
        <v>3360.3599999999997</v>
      </c>
      <c r="AN36" s="395">
        <v>4321.9380000000001</v>
      </c>
      <c r="AO36" s="395">
        <v>3985.692</v>
      </c>
      <c r="AP36" s="395">
        <v>4219.08</v>
      </c>
      <c r="AQ36" s="395">
        <v>4583.6639999999998</v>
      </c>
      <c r="AR36" s="395">
        <v>4307.5079999999998</v>
      </c>
      <c r="AS36" s="395">
        <v>4387.5659999999998</v>
      </c>
      <c r="AT36" s="395">
        <v>4512.09</v>
      </c>
      <c r="AU36" s="395">
        <v>4754.826</v>
      </c>
      <c r="AV36" s="395">
        <v>4837.8900000000003</v>
      </c>
      <c r="AW36" s="395">
        <v>4575.87</v>
      </c>
      <c r="AX36" s="395">
        <v>4783.5959999999995</v>
      </c>
      <c r="AY36" s="395">
        <v>4837.9859999999999</v>
      </c>
      <c r="AZ36" s="395">
        <v>5399.1779999999999</v>
      </c>
      <c r="BA36" s="395">
        <v>5620.41</v>
      </c>
      <c r="BB36" s="395">
        <v>5724.3539999999994</v>
      </c>
      <c r="BC36" s="395">
        <v>5365.0199999999995</v>
      </c>
      <c r="BD36" s="395">
        <v>6202.6620000000003</v>
      </c>
      <c r="BE36" s="395">
        <v>5560.6980000000003</v>
      </c>
      <c r="BF36" s="395">
        <v>5293.5959999999995</v>
      </c>
      <c r="BG36" s="395">
        <v>5561.28</v>
      </c>
      <c r="BH36" s="395">
        <v>5767.2420000000002</v>
      </c>
      <c r="BI36" s="395">
        <v>5088.6900000000005</v>
      </c>
      <c r="BJ36" s="395">
        <v>5449.6260000000002</v>
      </c>
      <c r="BK36" s="395">
        <v>5652.1320000000005</v>
      </c>
      <c r="BL36" s="395">
        <v>6725.5019999999995</v>
      </c>
      <c r="BM36" s="395">
        <v>6299.7540000000008</v>
      </c>
      <c r="BN36" s="395">
        <v>7107.4920000000002</v>
      </c>
      <c r="BO36" s="395">
        <v>7733.2380000000003</v>
      </c>
      <c r="BP36" s="395">
        <v>7306.6319999999996</v>
      </c>
      <c r="BQ36" s="395">
        <v>8020.7820000000002</v>
      </c>
      <c r="BR36" s="395">
        <v>8277.4920000000002</v>
      </c>
      <c r="BS36" s="395">
        <v>7901.2079999999996</v>
      </c>
      <c r="BT36" s="395">
        <v>8158.1460000000006</v>
      </c>
      <c r="BU36" s="395">
        <v>8066.91</v>
      </c>
      <c r="BV36" s="395">
        <v>7166.3159999999998</v>
      </c>
      <c r="BW36" s="395">
        <v>8126.7719999999999</v>
      </c>
      <c r="BX36" s="395">
        <v>9961.098</v>
      </c>
      <c r="BY36" s="395">
        <v>8460.5459999999985</v>
      </c>
      <c r="BZ36" s="395">
        <v>8874.7920000000013</v>
      </c>
      <c r="CA36" s="395">
        <v>8847.99</v>
      </c>
      <c r="CB36" s="395">
        <v>8411.5680000000011</v>
      </c>
      <c r="CC36" s="395">
        <v>10048.68</v>
      </c>
      <c r="CD36" s="395">
        <v>9985.2000000000007</v>
      </c>
      <c r="CE36" s="395">
        <v>8033.5619999999999</v>
      </c>
      <c r="CF36" s="395">
        <v>8183.7179999999998</v>
      </c>
      <c r="CG36" s="395">
        <v>6609.6720000000005</v>
      </c>
      <c r="CH36" s="395">
        <v>6662.2800000000007</v>
      </c>
      <c r="CI36" s="395">
        <v>6999.4380000000001</v>
      </c>
      <c r="CJ36" s="395">
        <v>7341.264000000001</v>
      </c>
      <c r="CK36" s="395">
        <v>7493.67</v>
      </c>
      <c r="CL36" s="395">
        <v>7836.3960000000006</v>
      </c>
      <c r="CM36" s="395">
        <v>7947.7920000000004</v>
      </c>
      <c r="CN36" s="395">
        <v>9298.9140000000007</v>
      </c>
      <c r="CO36" s="395">
        <v>10327.428</v>
      </c>
      <c r="CP36" s="395">
        <v>8376.1919999999991</v>
      </c>
      <c r="CQ36" s="395">
        <v>7824.0720000000001</v>
      </c>
      <c r="CR36" s="395">
        <v>6493.6679999999997</v>
      </c>
      <c r="CS36" s="395">
        <v>5587.2659999999996</v>
      </c>
      <c r="CT36" s="395">
        <v>4511.2559999999994</v>
      </c>
      <c r="CU36" s="395">
        <v>3773.7840000000006</v>
      </c>
      <c r="CV36" s="395">
        <v>3889.4280000000003</v>
      </c>
      <c r="CW36" s="395">
        <v>3454.152</v>
      </c>
      <c r="CX36" s="395">
        <v>3407.8559999999998</v>
      </c>
      <c r="CY36" s="395">
        <v>3391.4340000000002</v>
      </c>
      <c r="CZ36" s="395">
        <v>3032.7240000000002</v>
      </c>
      <c r="DA36" s="395">
        <v>3832.788</v>
      </c>
      <c r="DB36" s="395">
        <v>2835.096</v>
      </c>
      <c r="DC36" s="395">
        <v>3176.6099999999997</v>
      </c>
      <c r="DD36" s="395">
        <v>2959.3440000000001</v>
      </c>
      <c r="DE36" s="395">
        <v>2896.962</v>
      </c>
      <c r="DF36" s="395">
        <v>3026.8620000000001</v>
      </c>
      <c r="DG36" s="395">
        <v>3495.0119999999997</v>
      </c>
      <c r="DH36" s="395">
        <v>3622.83</v>
      </c>
      <c r="DI36" s="395">
        <v>3447.9539999999997</v>
      </c>
      <c r="DJ36" s="395">
        <v>3911.4839999999999</v>
      </c>
      <c r="DK36" s="395">
        <v>4241.2440000000006</v>
      </c>
      <c r="DL36" s="395">
        <v>4215.6840000000002</v>
      </c>
      <c r="DM36" s="395">
        <v>4444.92</v>
      </c>
      <c r="DN36" s="395">
        <v>4570.9800000000005</v>
      </c>
      <c r="DO36" s="395">
        <v>5494.4759999999997</v>
      </c>
      <c r="DP36" s="395">
        <v>5143.32</v>
      </c>
      <c r="DQ36" s="395">
        <v>4891.2420000000002</v>
      </c>
      <c r="DR36" s="395">
        <v>4629</v>
      </c>
      <c r="DS36" s="395">
        <v>5107.9139999999998</v>
      </c>
      <c r="DT36" s="395">
        <v>5406.4260000000004</v>
      </c>
      <c r="DU36" s="395">
        <v>5240.7719999999999</v>
      </c>
      <c r="DV36" s="395">
        <v>5760.2340000000004</v>
      </c>
      <c r="DW36" s="395">
        <v>5576.1419999999998</v>
      </c>
      <c r="DX36" s="395">
        <v>5250.6959999999999</v>
      </c>
      <c r="DY36" s="395">
        <v>5554.1039999999994</v>
      </c>
      <c r="DZ36" s="395">
        <v>4853.1120000000001</v>
      </c>
      <c r="EA36" s="395">
        <v>5103.732</v>
      </c>
      <c r="EB36" s="395">
        <v>4887.8820000000005</v>
      </c>
      <c r="EC36" s="395">
        <v>4010.7000000000003</v>
      </c>
      <c r="ED36" s="395">
        <v>4012.3500000000004</v>
      </c>
      <c r="EE36" s="395">
        <v>4338.33</v>
      </c>
      <c r="EF36" s="395">
        <v>4048.71</v>
      </c>
      <c r="EG36" s="395">
        <v>3650.7060000000001</v>
      </c>
      <c r="EH36" s="395">
        <v>3848.49</v>
      </c>
      <c r="EI36" s="395">
        <v>3842.7000000000003</v>
      </c>
      <c r="EJ36" s="395">
        <v>3798.5219999999999</v>
      </c>
      <c r="EK36" s="395">
        <v>3806.2980000000002</v>
      </c>
      <c r="EL36" s="395">
        <v>3404.5619999999999</v>
      </c>
      <c r="EM36" s="395">
        <v>4614.3420000000006</v>
      </c>
      <c r="EN36" s="395">
        <v>3784.6080000000002</v>
      </c>
      <c r="EO36" s="395">
        <v>2812.83</v>
      </c>
      <c r="EP36" s="395">
        <v>2851.6379999999999</v>
      </c>
      <c r="EQ36" s="395">
        <v>2803.3139999999999</v>
      </c>
      <c r="ER36" s="395">
        <v>3002.6760000000004</v>
      </c>
      <c r="ES36" s="395">
        <v>3031.29</v>
      </c>
      <c r="ET36" s="395">
        <v>2766.3359999999998</v>
      </c>
      <c r="EU36" s="395">
        <v>2786.076</v>
      </c>
      <c r="EV36" s="395">
        <v>2729.5259999999998</v>
      </c>
      <c r="EW36" s="395">
        <v>2631.87</v>
      </c>
      <c r="EX36" s="395">
        <v>2527.62</v>
      </c>
      <c r="EY36" s="395">
        <v>3003.6120000000001</v>
      </c>
      <c r="EZ36" s="395">
        <v>2655</v>
      </c>
      <c r="FA36" s="395">
        <v>2119.7820000000002</v>
      </c>
      <c r="FB36" s="395">
        <v>2235.4319999999998</v>
      </c>
      <c r="FC36" s="395">
        <v>2230.674</v>
      </c>
      <c r="FD36" s="395">
        <v>2482.7280000000001</v>
      </c>
      <c r="FE36" s="395">
        <v>2081.2919999999999</v>
      </c>
      <c r="FF36" s="395">
        <v>2760.42</v>
      </c>
      <c r="FG36" s="395">
        <v>2378.6760000000004</v>
      </c>
      <c r="FH36" s="395">
        <v>2611.6440000000002</v>
      </c>
      <c r="FI36" s="395">
        <v>2512.2060000000001</v>
      </c>
      <c r="FJ36" s="395">
        <v>2324.1000000000004</v>
      </c>
      <c r="FK36" s="395">
        <v>2583.498</v>
      </c>
      <c r="FL36" s="395">
        <v>2636.7660000000001</v>
      </c>
      <c r="FM36" s="395">
        <v>2227.116</v>
      </c>
      <c r="FN36" s="395">
        <v>2284.482</v>
      </c>
      <c r="FO36" s="395">
        <v>2492.4360000000001</v>
      </c>
      <c r="FP36" s="395">
        <v>2816.0519999999997</v>
      </c>
      <c r="FQ36" s="395">
        <v>2580.8579999999997</v>
      </c>
      <c r="FR36" s="395">
        <v>2865.288</v>
      </c>
      <c r="FS36" s="395">
        <v>2939.364</v>
      </c>
      <c r="FT36" s="395">
        <v>2850.942</v>
      </c>
      <c r="FU36" s="395">
        <v>2826.36</v>
      </c>
      <c r="FV36" s="395">
        <v>2934.732</v>
      </c>
      <c r="FW36" s="395">
        <v>4090.8239999999996</v>
      </c>
      <c r="FX36" s="395">
        <v>2807.6760000000004</v>
      </c>
      <c r="FY36" s="395">
        <v>2476.14</v>
      </c>
      <c r="FZ36" s="395">
        <v>2519.8139999999999</v>
      </c>
      <c r="GA36" s="395">
        <v>2573.2379999999998</v>
      </c>
      <c r="GB36" s="395">
        <v>2822.268</v>
      </c>
      <c r="GC36" s="395">
        <v>2626.116</v>
      </c>
      <c r="GD36" s="395">
        <v>3008.8620000000001</v>
      </c>
      <c r="GE36" s="395">
        <v>2852.8019999999997</v>
      </c>
      <c r="GF36" s="395">
        <v>3021.4319999999998</v>
      </c>
      <c r="GG36" s="395">
        <v>2817.2280000000001</v>
      </c>
      <c r="GH36" s="395">
        <v>2855.3220000000001</v>
      </c>
      <c r="GI36" s="395">
        <v>3098.8379999999997</v>
      </c>
      <c r="GJ36" s="395">
        <v>3108.4319999999998</v>
      </c>
      <c r="GK36" s="395">
        <v>2820.18</v>
      </c>
      <c r="GL36" s="395">
        <v>2966.4659999999999</v>
      </c>
      <c r="GM36" s="395">
        <v>2978.0280000000002</v>
      </c>
      <c r="GN36" s="395">
        <v>4413.8099999999995</v>
      </c>
      <c r="GO36" s="395">
        <v>3219.6540000000005</v>
      </c>
      <c r="GP36" s="395">
        <v>3136.5839999999998</v>
      </c>
      <c r="GQ36" s="395">
        <v>3186.9359999999997</v>
      </c>
      <c r="GR36" s="395">
        <v>3383.9580000000005</v>
      </c>
      <c r="GS36" s="395">
        <v>3226.4940000000001</v>
      </c>
      <c r="GT36" s="395">
        <v>2963.8559999999998</v>
      </c>
      <c r="GU36" s="395">
        <v>3434.268</v>
      </c>
      <c r="GV36" s="395">
        <v>3579.0119999999997</v>
      </c>
      <c r="GW36" s="395">
        <v>2853.4560000000001</v>
      </c>
      <c r="GX36" s="395">
        <v>2894.6819999999998</v>
      </c>
      <c r="GY36" s="395">
        <v>2796.8160000000003</v>
      </c>
      <c r="GZ36" s="395">
        <v>3169.134</v>
      </c>
      <c r="HA36" s="395">
        <v>2958.0299999999997</v>
      </c>
      <c r="HB36" s="395">
        <v>3566.6760000000004</v>
      </c>
      <c r="HC36" s="395">
        <v>3079.2840000000006</v>
      </c>
      <c r="HD36" s="395">
        <v>3420.636</v>
      </c>
      <c r="HE36" s="395">
        <v>3536.3999999999996</v>
      </c>
      <c r="HF36" s="395">
        <v>3463.134</v>
      </c>
      <c r="HG36" s="395">
        <v>4186.9979999999996</v>
      </c>
      <c r="HH36" s="395">
        <v>3841.3559999999998</v>
      </c>
      <c r="HI36" s="395">
        <v>3155.2799999999997</v>
      </c>
      <c r="HJ36" s="395">
        <v>3410.6760000000004</v>
      </c>
      <c r="HK36" s="395">
        <v>3792.942</v>
      </c>
      <c r="HL36" s="395">
        <v>3962.0519999999997</v>
      </c>
      <c r="HM36" s="395">
        <v>3670.2660000000001</v>
      </c>
      <c r="HN36" s="395">
        <v>4075.866</v>
      </c>
      <c r="HO36" s="395">
        <v>3795.8820000000005</v>
      </c>
      <c r="HP36" s="395">
        <v>4083.0419999999995</v>
      </c>
      <c r="HQ36" s="395">
        <v>3902.7539999999999</v>
      </c>
      <c r="HR36" s="395">
        <v>4100.04</v>
      </c>
      <c r="HS36" s="395">
        <v>5455.674</v>
      </c>
      <c r="HT36" s="395">
        <v>6301.5720000000001</v>
      </c>
      <c r="HU36" s="395">
        <v>4301.0460000000003</v>
      </c>
      <c r="HV36" s="395">
        <v>4632.2820000000002</v>
      </c>
      <c r="HW36" s="395">
        <v>4117.3140000000003</v>
      </c>
      <c r="HX36" s="395">
        <v>4276.3979999999992</v>
      </c>
      <c r="HY36" s="395">
        <v>3448.2060000000001</v>
      </c>
      <c r="HZ36" s="395">
        <v>3479.232</v>
      </c>
      <c r="IA36" s="395">
        <v>3392.0819999999999</v>
      </c>
      <c r="IB36" s="395">
        <v>4182.402</v>
      </c>
      <c r="IC36" s="395">
        <v>3861.192</v>
      </c>
      <c r="ID36" s="395">
        <v>3729.1440000000002</v>
      </c>
      <c r="IE36" s="395">
        <v>3943.6259999999997</v>
      </c>
      <c r="IF36" s="395">
        <v>4172.7240000000002</v>
      </c>
      <c r="IG36" s="395">
        <v>3849.24</v>
      </c>
      <c r="IH36" s="395">
        <v>4007.0160000000001</v>
      </c>
      <c r="II36" s="395">
        <v>4290.6779999999999</v>
      </c>
      <c r="IJ36" s="395">
        <v>4535.8320000000003</v>
      </c>
      <c r="IK36" s="395">
        <v>4347.1320000000005</v>
      </c>
      <c r="IL36" s="395">
        <v>4961.3820000000005</v>
      </c>
      <c r="IM36" s="395">
        <v>5095.3860000000004</v>
      </c>
      <c r="IN36" s="15">
        <v>4663.5959999999995</v>
      </c>
      <c r="IO36" s="15">
        <v>4870.4519999999993</v>
      </c>
      <c r="IP36" s="15">
        <v>4968.2520000000004</v>
      </c>
      <c r="IQ36" s="15">
        <v>4893.9659999999994</v>
      </c>
      <c r="IR36" s="15">
        <v>4955.4840000000004</v>
      </c>
      <c r="IS36" s="15">
        <v>4220.9940000000006</v>
      </c>
      <c r="IT36" s="15">
        <v>4169.4840000000004</v>
      </c>
      <c r="IU36" s="15">
        <v>4237.5119999999997</v>
      </c>
      <c r="IV36" s="15">
        <v>5360.7119999999995</v>
      </c>
      <c r="IW36" s="15">
        <v>4939.84</v>
      </c>
      <c r="IX36" s="15">
        <v>5040.5600000000004</v>
      </c>
      <c r="IY36" s="15">
        <v>5980.16</v>
      </c>
      <c r="IZ36" s="15">
        <v>6149.8559999999998</v>
      </c>
      <c r="JA36" s="15">
        <v>6659.33</v>
      </c>
      <c r="JB36" s="15">
        <v>7025.982</v>
      </c>
      <c r="JC36" s="15">
        <v>7005.308</v>
      </c>
      <c r="JD36" s="15">
        <v>6077.6120000000001</v>
      </c>
      <c r="JE36" s="447">
        <v>5104.5879999999997</v>
      </c>
    </row>
    <row r="37" spans="1:519" x14ac:dyDescent="0.3">
      <c r="A37" s="394" t="s">
        <v>182</v>
      </c>
      <c r="B37" s="392">
        <v>154.19999999999999</v>
      </c>
      <c r="C37" s="392">
        <v>126.40800000000002</v>
      </c>
      <c r="D37" s="392">
        <v>160.07999999999998</v>
      </c>
      <c r="E37" s="392">
        <v>145.38</v>
      </c>
      <c r="F37" s="392">
        <v>199.73400000000001</v>
      </c>
      <c r="G37" s="392">
        <v>165.762</v>
      </c>
      <c r="H37" s="392">
        <v>164.892</v>
      </c>
      <c r="I37" s="392">
        <v>168.28799999999998</v>
      </c>
      <c r="J37" s="392">
        <v>153.16200000000001</v>
      </c>
      <c r="K37" s="392">
        <v>215.13</v>
      </c>
      <c r="L37" s="392">
        <v>198.072</v>
      </c>
      <c r="M37" s="392">
        <v>160.77000000000001</v>
      </c>
      <c r="N37" s="392">
        <v>187.24200000000002</v>
      </c>
      <c r="O37" s="392">
        <v>182.73599999999999</v>
      </c>
      <c r="P37" s="392">
        <v>158.36399999999998</v>
      </c>
      <c r="Q37" s="392">
        <v>126.58799999999999</v>
      </c>
      <c r="R37" s="392">
        <v>136.36799999999999</v>
      </c>
      <c r="S37" s="392">
        <v>158.304</v>
      </c>
      <c r="T37" s="392">
        <v>128.58600000000001</v>
      </c>
      <c r="U37" s="392">
        <v>169.15199999999999</v>
      </c>
      <c r="V37" s="392">
        <v>157.506</v>
      </c>
      <c r="W37" s="392">
        <v>176.50200000000001</v>
      </c>
      <c r="X37" s="392">
        <v>151.86599999999999</v>
      </c>
      <c r="Y37" s="392">
        <v>120.90600000000001</v>
      </c>
      <c r="Z37" s="392">
        <v>150.37799999999999</v>
      </c>
      <c r="AA37" s="392">
        <v>150.56400000000002</v>
      </c>
      <c r="AB37" s="392">
        <v>148.76400000000001</v>
      </c>
      <c r="AC37" s="392">
        <v>158.02199999999999</v>
      </c>
      <c r="AD37" s="392">
        <v>162.88200000000001</v>
      </c>
      <c r="AE37" s="392">
        <v>125.60999999999999</v>
      </c>
      <c r="AF37" s="392">
        <v>164.25</v>
      </c>
      <c r="AG37" s="392">
        <v>164.71799999999999</v>
      </c>
      <c r="AH37" s="392">
        <v>134.178</v>
      </c>
      <c r="AI37" s="392">
        <v>165.51</v>
      </c>
      <c r="AJ37" s="392">
        <v>189.86399999999998</v>
      </c>
      <c r="AK37" s="392">
        <v>151.73400000000001</v>
      </c>
      <c r="AL37" s="392">
        <v>158.61599999999999</v>
      </c>
      <c r="AM37" s="392">
        <v>157.64999999999998</v>
      </c>
      <c r="AN37" s="392">
        <v>142.29</v>
      </c>
      <c r="AO37" s="392">
        <v>129.35999999999999</v>
      </c>
      <c r="AP37" s="392">
        <v>149.292</v>
      </c>
      <c r="AQ37" s="392">
        <v>182.78399999999999</v>
      </c>
      <c r="AR37" s="392">
        <v>192.91200000000001</v>
      </c>
      <c r="AS37" s="392">
        <v>167.66399999999999</v>
      </c>
      <c r="AT37" s="392">
        <v>186.24600000000001</v>
      </c>
      <c r="AU37" s="392">
        <v>171.97800000000001</v>
      </c>
      <c r="AV37" s="392">
        <v>175.34399999999999</v>
      </c>
      <c r="AW37" s="392">
        <v>190.68599999999998</v>
      </c>
      <c r="AX37" s="392">
        <v>182.952</v>
      </c>
      <c r="AY37" s="392">
        <v>327.45600000000002</v>
      </c>
      <c r="AZ37" s="392">
        <v>318.74400000000003</v>
      </c>
      <c r="BA37" s="392">
        <v>238.05600000000001</v>
      </c>
      <c r="BB37" s="392">
        <v>264.03000000000003</v>
      </c>
      <c r="BC37" s="392">
        <v>285.86399999999998</v>
      </c>
      <c r="BD37" s="392">
        <v>265.44</v>
      </c>
      <c r="BE37" s="392">
        <v>252.98400000000001</v>
      </c>
      <c r="BF37" s="392">
        <v>331.524</v>
      </c>
      <c r="BG37" s="392">
        <v>249.75599999999997</v>
      </c>
      <c r="BH37" s="392">
        <v>223.18200000000002</v>
      </c>
      <c r="BI37" s="392">
        <v>206.14799999999997</v>
      </c>
      <c r="BJ37" s="392">
        <v>199.19399999999999</v>
      </c>
      <c r="BK37" s="392">
        <v>187.602</v>
      </c>
      <c r="BL37" s="392">
        <v>245.93399999999997</v>
      </c>
      <c r="BM37" s="392">
        <v>176.36399999999998</v>
      </c>
      <c r="BN37" s="392">
        <v>194.80199999999999</v>
      </c>
      <c r="BO37" s="392">
        <v>215.41200000000001</v>
      </c>
      <c r="BP37" s="392">
        <v>203.11799999999999</v>
      </c>
      <c r="BQ37" s="392">
        <v>208.36199999999997</v>
      </c>
      <c r="BR37" s="392">
        <v>272.05799999999999</v>
      </c>
      <c r="BS37" s="392">
        <v>270.38400000000001</v>
      </c>
      <c r="BT37" s="392">
        <v>260.11199999999997</v>
      </c>
      <c r="BU37" s="392">
        <v>158.55000000000001</v>
      </c>
      <c r="BV37" s="392">
        <v>206.45400000000001</v>
      </c>
      <c r="BW37" s="392">
        <v>238.70999999999998</v>
      </c>
      <c r="BX37" s="392">
        <v>262.66200000000003</v>
      </c>
      <c r="BY37" s="392">
        <v>195.46199999999999</v>
      </c>
      <c r="BZ37" s="392">
        <v>261.108</v>
      </c>
      <c r="CA37" s="392">
        <v>222.85200000000003</v>
      </c>
      <c r="CB37" s="392">
        <v>228.90600000000001</v>
      </c>
      <c r="CC37" s="392">
        <v>250.77600000000001</v>
      </c>
      <c r="CD37" s="392">
        <v>226.78199999999998</v>
      </c>
      <c r="CE37" s="392">
        <v>283.25400000000002</v>
      </c>
      <c r="CF37" s="392">
        <v>278.61</v>
      </c>
      <c r="CG37" s="392">
        <v>231.822</v>
      </c>
      <c r="CH37" s="392">
        <v>219.27600000000001</v>
      </c>
      <c r="CI37" s="392">
        <v>176.274</v>
      </c>
      <c r="CJ37" s="392">
        <v>170.46600000000001</v>
      </c>
      <c r="CK37" s="392">
        <v>312.69</v>
      </c>
      <c r="CL37" s="392">
        <v>240.36</v>
      </c>
      <c r="CM37" s="392">
        <v>272.358</v>
      </c>
      <c r="CN37" s="392">
        <v>350.39400000000001</v>
      </c>
      <c r="CO37" s="392">
        <v>316.35000000000002</v>
      </c>
      <c r="CP37" s="392">
        <v>320.44799999999998</v>
      </c>
      <c r="CQ37" s="392">
        <v>279.834</v>
      </c>
      <c r="CR37" s="392">
        <v>187.26599999999999</v>
      </c>
      <c r="CS37" s="392">
        <v>198.13200000000001</v>
      </c>
      <c r="CT37" s="392">
        <v>156.81</v>
      </c>
      <c r="CU37" s="392">
        <v>169.29599999999999</v>
      </c>
      <c r="CV37" s="392">
        <v>184.446</v>
      </c>
      <c r="CW37" s="392">
        <v>215.83799999999999</v>
      </c>
      <c r="CX37" s="392">
        <v>327.96</v>
      </c>
      <c r="CY37" s="392">
        <v>302.32799999999997</v>
      </c>
      <c r="CZ37" s="392">
        <v>376.08600000000001</v>
      </c>
      <c r="DA37" s="392">
        <v>364.66200000000003</v>
      </c>
      <c r="DB37" s="392">
        <v>363.65999999999997</v>
      </c>
      <c r="DC37" s="392">
        <v>372.44399999999996</v>
      </c>
      <c r="DD37" s="392">
        <v>258.60000000000002</v>
      </c>
      <c r="DE37" s="392">
        <v>268.428</v>
      </c>
      <c r="DF37" s="392">
        <v>223.63800000000003</v>
      </c>
      <c r="DG37" s="392">
        <v>227.916</v>
      </c>
      <c r="DH37" s="392">
        <v>307.476</v>
      </c>
      <c r="DI37" s="392">
        <v>286.27200000000005</v>
      </c>
      <c r="DJ37" s="392">
        <v>317.68200000000002</v>
      </c>
      <c r="DK37" s="392">
        <v>320.17200000000003</v>
      </c>
      <c r="DL37" s="392">
        <v>367.98</v>
      </c>
      <c r="DM37" s="392">
        <v>448.18200000000002</v>
      </c>
      <c r="DN37" s="392">
        <v>327.73199999999997</v>
      </c>
      <c r="DO37" s="392">
        <v>298.65600000000001</v>
      </c>
      <c r="DP37" s="392">
        <v>238.70400000000001</v>
      </c>
      <c r="DQ37" s="392">
        <v>166.68599999999998</v>
      </c>
      <c r="DR37" s="392">
        <v>168.75</v>
      </c>
      <c r="DS37" s="392">
        <v>169.554</v>
      </c>
      <c r="DT37" s="392">
        <v>236.02800000000002</v>
      </c>
      <c r="DU37" s="392">
        <v>222.17400000000004</v>
      </c>
      <c r="DV37" s="392">
        <v>275.286</v>
      </c>
      <c r="DW37" s="392">
        <v>279.108</v>
      </c>
      <c r="DX37" s="392">
        <v>384.072</v>
      </c>
      <c r="DY37" s="392">
        <v>563.80200000000002</v>
      </c>
      <c r="DZ37" s="392">
        <v>382.45800000000003</v>
      </c>
      <c r="EA37" s="392">
        <v>350.916</v>
      </c>
      <c r="EB37" s="392">
        <v>288.43799999999999</v>
      </c>
      <c r="EC37" s="392">
        <v>183.26400000000001</v>
      </c>
      <c r="ED37" s="392">
        <v>240.00599999999997</v>
      </c>
      <c r="EE37" s="392">
        <v>275.988</v>
      </c>
      <c r="EF37" s="392">
        <v>277.60200000000003</v>
      </c>
      <c r="EG37" s="392">
        <v>218.99400000000003</v>
      </c>
      <c r="EH37" s="392">
        <v>185.19</v>
      </c>
      <c r="EI37" s="392">
        <v>208.56</v>
      </c>
      <c r="EJ37" s="392">
        <v>220.81200000000001</v>
      </c>
      <c r="EK37" s="392">
        <v>252.34200000000001</v>
      </c>
      <c r="EL37" s="392">
        <v>337.22399999999999</v>
      </c>
      <c r="EM37" s="392">
        <v>354.80399999999997</v>
      </c>
      <c r="EN37" s="392">
        <v>478.01400000000001</v>
      </c>
      <c r="EO37" s="392">
        <v>377.47799999999995</v>
      </c>
      <c r="EP37" s="392">
        <v>344.42400000000004</v>
      </c>
      <c r="EQ37" s="392">
        <v>348.15600000000001</v>
      </c>
      <c r="ER37" s="392">
        <v>332.334</v>
      </c>
      <c r="ES37" s="392">
        <v>300.91200000000003</v>
      </c>
      <c r="ET37" s="392">
        <v>375.28199999999998</v>
      </c>
      <c r="EU37" s="392">
        <v>344.05799999999999</v>
      </c>
      <c r="EV37" s="392">
        <v>393.16200000000003</v>
      </c>
      <c r="EW37" s="392">
        <v>578.96399999999994</v>
      </c>
      <c r="EX37" s="392">
        <v>479.16600000000005</v>
      </c>
      <c r="EY37" s="392">
        <v>488.37</v>
      </c>
      <c r="EZ37" s="392">
        <v>446.85599999999999</v>
      </c>
      <c r="FA37" s="392">
        <v>277.392</v>
      </c>
      <c r="FB37" s="392">
        <v>229.92000000000002</v>
      </c>
      <c r="FC37" s="392">
        <v>229.85399999999998</v>
      </c>
      <c r="FD37" s="392">
        <v>277.57799999999997</v>
      </c>
      <c r="FE37" s="392">
        <v>232.49400000000003</v>
      </c>
      <c r="FF37" s="392">
        <v>242.75400000000002</v>
      </c>
      <c r="FG37" s="392">
        <v>229.79999999999998</v>
      </c>
      <c r="FH37" s="392">
        <v>204.28199999999998</v>
      </c>
      <c r="FI37" s="392">
        <v>198.084</v>
      </c>
      <c r="FJ37" s="392">
        <v>139.89000000000001</v>
      </c>
      <c r="FK37" s="392">
        <v>175.93199999999999</v>
      </c>
      <c r="FL37" s="392">
        <v>144.44999999999999</v>
      </c>
      <c r="FM37" s="392">
        <v>105.54600000000001</v>
      </c>
      <c r="FN37" s="392">
        <v>89.771999999999991</v>
      </c>
      <c r="FO37" s="392">
        <v>81.078000000000003</v>
      </c>
      <c r="FP37" s="392">
        <v>101.49600000000001</v>
      </c>
      <c r="FQ37" s="392">
        <v>105.312</v>
      </c>
      <c r="FR37" s="392">
        <v>92.915999999999997</v>
      </c>
      <c r="FS37" s="392">
        <v>125.80199999999999</v>
      </c>
      <c r="FT37" s="392">
        <v>138.762</v>
      </c>
      <c r="FU37" s="392">
        <v>176.72399999999999</v>
      </c>
      <c r="FV37" s="392">
        <v>160.22399999999999</v>
      </c>
      <c r="FW37" s="392">
        <v>123.786</v>
      </c>
      <c r="FX37" s="392">
        <v>128.59800000000001</v>
      </c>
      <c r="FY37" s="392">
        <v>114.63600000000001</v>
      </c>
      <c r="FZ37" s="392">
        <v>73.674000000000007</v>
      </c>
      <c r="GA37" s="392">
        <v>115.206</v>
      </c>
      <c r="GB37" s="392">
        <v>113.634</v>
      </c>
      <c r="GC37" s="392">
        <v>88.451999999999998</v>
      </c>
      <c r="GD37" s="392">
        <v>90.210000000000008</v>
      </c>
      <c r="GE37" s="392">
        <v>80.975999999999999</v>
      </c>
      <c r="GF37" s="392">
        <v>110.46000000000001</v>
      </c>
      <c r="GG37" s="392">
        <v>142.87200000000001</v>
      </c>
      <c r="GH37" s="392">
        <v>110.562</v>
      </c>
      <c r="GI37" s="392">
        <v>179.04</v>
      </c>
      <c r="GJ37" s="392">
        <v>96.27000000000001</v>
      </c>
      <c r="GK37" s="392">
        <v>102.456</v>
      </c>
      <c r="GL37" s="392">
        <v>105.84</v>
      </c>
      <c r="GM37" s="392">
        <v>103.14599999999999</v>
      </c>
      <c r="GN37" s="392">
        <v>111.50399999999999</v>
      </c>
      <c r="GO37" s="392">
        <v>160.68</v>
      </c>
      <c r="GP37" s="392">
        <v>204.858</v>
      </c>
      <c r="GQ37" s="392">
        <v>201.642</v>
      </c>
      <c r="GR37" s="392">
        <v>184.87799999999999</v>
      </c>
      <c r="GS37" s="392">
        <v>248.54999999999998</v>
      </c>
      <c r="GT37" s="392">
        <v>207.51</v>
      </c>
      <c r="GU37" s="392">
        <v>247.50599999999997</v>
      </c>
      <c r="GV37" s="392">
        <v>252.14400000000001</v>
      </c>
      <c r="GW37" s="392">
        <v>179.214</v>
      </c>
      <c r="GX37" s="392">
        <v>220.63200000000001</v>
      </c>
      <c r="GY37" s="392">
        <v>189.822</v>
      </c>
      <c r="GZ37" s="392">
        <v>238.464</v>
      </c>
      <c r="HA37" s="392">
        <v>224.01</v>
      </c>
      <c r="HB37" s="392">
        <v>254.44199999999998</v>
      </c>
      <c r="HC37" s="392">
        <v>320.47199999999998</v>
      </c>
      <c r="HD37" s="392">
        <v>269.47199999999998</v>
      </c>
      <c r="HE37" s="392">
        <v>308.58600000000001</v>
      </c>
      <c r="HF37" s="392">
        <v>300.34800000000001</v>
      </c>
      <c r="HG37" s="392">
        <v>219.59399999999999</v>
      </c>
      <c r="HH37" s="392">
        <v>194.56799999999998</v>
      </c>
      <c r="HI37" s="392">
        <v>183.45</v>
      </c>
      <c r="HJ37" s="392">
        <v>172.93199999999999</v>
      </c>
      <c r="HK37" s="392">
        <v>177.24</v>
      </c>
      <c r="HL37" s="392">
        <v>159.57</v>
      </c>
      <c r="HM37" s="392">
        <v>171.88200000000001</v>
      </c>
      <c r="HN37" s="392">
        <v>283.84800000000001</v>
      </c>
      <c r="HO37" s="392">
        <v>261.42599999999999</v>
      </c>
      <c r="HP37" s="444">
        <v>271.93200000000002</v>
      </c>
      <c r="HQ37" s="444">
        <v>319.85399999999998</v>
      </c>
      <c r="HR37" s="444">
        <v>359.86199999999997</v>
      </c>
      <c r="HS37" s="444">
        <v>244.82999999999998</v>
      </c>
      <c r="HT37" s="444">
        <v>227.76</v>
      </c>
      <c r="HU37" s="444">
        <v>196.14600000000002</v>
      </c>
      <c r="HV37" s="392">
        <v>190.35000000000002</v>
      </c>
      <c r="HW37" s="392">
        <v>219.71999999999997</v>
      </c>
      <c r="HX37" s="392">
        <v>178.33799999999999</v>
      </c>
      <c r="HY37" s="392">
        <v>136.47</v>
      </c>
      <c r="HZ37" s="392">
        <v>159.44400000000002</v>
      </c>
      <c r="IA37" s="392">
        <v>179.64000000000001</v>
      </c>
      <c r="IB37" s="392">
        <v>181.12799999999999</v>
      </c>
      <c r="IC37" s="392">
        <v>277.81200000000001</v>
      </c>
      <c r="ID37" s="392">
        <v>165.096</v>
      </c>
      <c r="IE37" s="392">
        <v>194.62800000000001</v>
      </c>
      <c r="IF37" s="392">
        <v>155.64599999999999</v>
      </c>
      <c r="IG37" s="392">
        <v>141.96</v>
      </c>
      <c r="IH37" s="392">
        <v>165.69</v>
      </c>
      <c r="II37" s="392">
        <v>268.56600000000003</v>
      </c>
      <c r="IJ37" s="392">
        <v>222.084</v>
      </c>
      <c r="IK37" s="392">
        <v>209.61599999999999</v>
      </c>
      <c r="IL37" s="392">
        <v>257.90999999999997</v>
      </c>
      <c r="IM37" s="392">
        <v>253.584</v>
      </c>
      <c r="IN37" s="444">
        <v>274.63200000000001</v>
      </c>
      <c r="IO37" s="444">
        <v>304.72199999999998</v>
      </c>
      <c r="IP37" s="444">
        <v>300.61799999999999</v>
      </c>
      <c r="IQ37" s="444">
        <v>301.76400000000001</v>
      </c>
      <c r="IR37" s="444">
        <v>289.39799999999997</v>
      </c>
      <c r="IS37" s="444">
        <v>246.85200000000003</v>
      </c>
      <c r="IT37" s="444">
        <v>274.66800000000001</v>
      </c>
      <c r="IU37" s="444">
        <v>340.26</v>
      </c>
      <c r="IV37" s="444">
        <v>565.60199999999998</v>
      </c>
      <c r="IW37" s="445">
        <v>464.048</v>
      </c>
      <c r="IX37" s="445">
        <v>633.49599999999998</v>
      </c>
      <c r="IY37" s="445">
        <v>589.68600000000004</v>
      </c>
      <c r="IZ37" s="445">
        <v>487.404</v>
      </c>
      <c r="JA37" s="445">
        <v>552.13400000000001</v>
      </c>
      <c r="JB37" s="445">
        <v>660.51400000000001</v>
      </c>
      <c r="JC37" s="445">
        <v>560.05200000000002</v>
      </c>
      <c r="JD37" s="445">
        <v>606.25800000000004</v>
      </c>
      <c r="JE37" s="446">
        <v>726.63199999999995</v>
      </c>
    </row>
    <row r="38" spans="1:519" x14ac:dyDescent="0.3">
      <c r="A38" s="394" t="s">
        <v>93</v>
      </c>
      <c r="B38" s="395">
        <v>327.16200000000003</v>
      </c>
      <c r="C38" s="395">
        <v>349.62</v>
      </c>
      <c r="D38" s="395">
        <v>449.31000000000006</v>
      </c>
      <c r="E38" s="395">
        <v>437.47200000000004</v>
      </c>
      <c r="F38" s="395">
        <v>473.86200000000002</v>
      </c>
      <c r="G38" s="395">
        <v>448.10399999999998</v>
      </c>
      <c r="H38" s="395">
        <v>448.99199999999996</v>
      </c>
      <c r="I38" s="395">
        <v>446.63399999999996</v>
      </c>
      <c r="J38" s="395">
        <v>451.44600000000003</v>
      </c>
      <c r="K38" s="395">
        <v>406.98</v>
      </c>
      <c r="L38" s="395">
        <v>413.62800000000004</v>
      </c>
      <c r="M38" s="395">
        <v>375.34800000000001</v>
      </c>
      <c r="N38" s="395">
        <v>438.86400000000003</v>
      </c>
      <c r="O38" s="395">
        <v>423.85199999999998</v>
      </c>
      <c r="P38" s="395">
        <v>403.85399999999998</v>
      </c>
      <c r="Q38" s="395">
        <v>365.55600000000004</v>
      </c>
      <c r="R38" s="395">
        <v>352.42200000000003</v>
      </c>
      <c r="S38" s="395">
        <v>392.77799999999996</v>
      </c>
      <c r="T38" s="395">
        <v>412.63200000000006</v>
      </c>
      <c r="U38" s="395">
        <v>377.66399999999999</v>
      </c>
      <c r="V38" s="395">
        <v>367.02</v>
      </c>
      <c r="W38" s="395">
        <v>438.726</v>
      </c>
      <c r="X38" s="395">
        <v>398.69399999999996</v>
      </c>
      <c r="Y38" s="395">
        <v>335.05200000000002</v>
      </c>
      <c r="Z38" s="395">
        <v>321.47399999999999</v>
      </c>
      <c r="AA38" s="395">
        <v>293.25</v>
      </c>
      <c r="AB38" s="395">
        <v>308.59199999999998</v>
      </c>
      <c r="AC38" s="395">
        <v>338.96999999999997</v>
      </c>
      <c r="AD38" s="395">
        <v>401.53199999999998</v>
      </c>
      <c r="AE38" s="395">
        <v>347.61</v>
      </c>
      <c r="AF38" s="395">
        <v>360.642</v>
      </c>
      <c r="AG38" s="395">
        <v>380.05200000000002</v>
      </c>
      <c r="AH38" s="395">
        <v>386.99399999999997</v>
      </c>
      <c r="AI38" s="395">
        <v>404.34000000000003</v>
      </c>
      <c r="AJ38" s="395">
        <v>405.52799999999996</v>
      </c>
      <c r="AK38" s="395">
        <v>359.63400000000001</v>
      </c>
      <c r="AL38" s="395">
        <v>366.37800000000004</v>
      </c>
      <c r="AM38" s="395">
        <v>402.036</v>
      </c>
      <c r="AN38" s="395">
        <v>445.07400000000001</v>
      </c>
      <c r="AO38" s="395">
        <v>386.49599999999998</v>
      </c>
      <c r="AP38" s="395">
        <v>424.99799999999999</v>
      </c>
      <c r="AQ38" s="395">
        <v>505.09199999999998</v>
      </c>
      <c r="AR38" s="395">
        <v>525.53399999999999</v>
      </c>
      <c r="AS38" s="395">
        <v>597.60599999999999</v>
      </c>
      <c r="AT38" s="395">
        <v>622.15800000000002</v>
      </c>
      <c r="AU38" s="395">
        <v>640.39200000000005</v>
      </c>
      <c r="AV38" s="395">
        <v>617.88599999999997</v>
      </c>
      <c r="AW38" s="395">
        <v>553.14</v>
      </c>
      <c r="AX38" s="395">
        <v>524.04</v>
      </c>
      <c r="AY38" s="395">
        <v>535.25400000000002</v>
      </c>
      <c r="AZ38" s="395">
        <v>576.34199999999998</v>
      </c>
      <c r="BA38" s="395">
        <v>618.63</v>
      </c>
      <c r="BB38" s="395">
        <v>737.16</v>
      </c>
      <c r="BC38" s="395">
        <v>674.84400000000005</v>
      </c>
      <c r="BD38" s="395">
        <v>677.76</v>
      </c>
      <c r="BE38" s="395">
        <v>713.08199999999999</v>
      </c>
      <c r="BF38" s="395">
        <v>702.70799999999997</v>
      </c>
      <c r="BG38" s="395">
        <v>627.822</v>
      </c>
      <c r="BH38" s="395">
        <v>717.58199999999999</v>
      </c>
      <c r="BI38" s="395">
        <v>572.38799999999992</v>
      </c>
      <c r="BJ38" s="395">
        <v>467.274</v>
      </c>
      <c r="BK38" s="395">
        <v>486.57600000000002</v>
      </c>
      <c r="BL38" s="395">
        <v>591.46199999999999</v>
      </c>
      <c r="BM38" s="395">
        <v>524.61</v>
      </c>
      <c r="BN38" s="395">
        <v>496.00800000000004</v>
      </c>
      <c r="BO38" s="395">
        <v>511.21199999999999</v>
      </c>
      <c r="BP38" s="395">
        <v>506.67599999999999</v>
      </c>
      <c r="BQ38" s="395">
        <v>490.89</v>
      </c>
      <c r="BR38" s="395">
        <v>482.226</v>
      </c>
      <c r="BS38" s="395">
        <v>486.08399999999995</v>
      </c>
      <c r="BT38" s="395">
        <v>568.95000000000005</v>
      </c>
      <c r="BU38" s="395">
        <v>431.92199999999997</v>
      </c>
      <c r="BV38" s="395">
        <v>426.98400000000004</v>
      </c>
      <c r="BW38" s="395">
        <v>468.83399999999995</v>
      </c>
      <c r="BX38" s="395">
        <v>476.74799999999999</v>
      </c>
      <c r="BY38" s="395">
        <v>484.15199999999993</v>
      </c>
      <c r="BZ38" s="395">
        <v>575.36400000000003</v>
      </c>
      <c r="CA38" s="395">
        <v>553.68600000000004</v>
      </c>
      <c r="CB38" s="395">
        <v>584.28600000000006</v>
      </c>
      <c r="CC38" s="395">
        <v>578.64</v>
      </c>
      <c r="CD38" s="395">
        <v>773.04600000000005</v>
      </c>
      <c r="CE38" s="395">
        <v>486.47399999999993</v>
      </c>
      <c r="CF38" s="395">
        <v>640.00800000000004</v>
      </c>
      <c r="CG38" s="395">
        <v>581.5440000000001</v>
      </c>
      <c r="CH38" s="395">
        <v>561.49800000000005</v>
      </c>
      <c r="CI38" s="395">
        <v>591.74399999999991</v>
      </c>
      <c r="CJ38" s="395">
        <v>591.19799999999998</v>
      </c>
      <c r="CK38" s="395">
        <v>578.77800000000002</v>
      </c>
      <c r="CL38" s="395">
        <v>707.46</v>
      </c>
      <c r="CM38" s="395">
        <v>605.05200000000002</v>
      </c>
      <c r="CN38" s="395">
        <v>626.69399999999996</v>
      </c>
      <c r="CO38" s="395">
        <v>703.88400000000001</v>
      </c>
      <c r="CP38" s="395">
        <v>737.53199999999993</v>
      </c>
      <c r="CQ38" s="395">
        <v>839.80200000000013</v>
      </c>
      <c r="CR38" s="395">
        <v>790.34999999999991</v>
      </c>
      <c r="CS38" s="395">
        <v>890.33400000000006</v>
      </c>
      <c r="CT38" s="395">
        <v>1217.1600000000001</v>
      </c>
      <c r="CU38" s="395">
        <v>1115.346</v>
      </c>
      <c r="CV38" s="395">
        <v>738.98400000000004</v>
      </c>
      <c r="CW38" s="395">
        <v>658.63799999999992</v>
      </c>
      <c r="CX38" s="395">
        <v>798.64200000000005</v>
      </c>
      <c r="CY38" s="395">
        <v>697.97399999999993</v>
      </c>
      <c r="CZ38" s="395">
        <v>664.9559999999999</v>
      </c>
      <c r="DA38" s="395">
        <v>698.50199999999995</v>
      </c>
      <c r="DB38" s="395">
        <v>687.096</v>
      </c>
      <c r="DC38" s="395">
        <v>680.64</v>
      </c>
      <c r="DD38" s="395">
        <v>674.85599999999999</v>
      </c>
      <c r="DE38" s="395">
        <v>641.00400000000002</v>
      </c>
      <c r="DF38" s="395">
        <v>646.74599999999998</v>
      </c>
      <c r="DG38" s="395">
        <v>670.39800000000002</v>
      </c>
      <c r="DH38" s="395">
        <v>774.72</v>
      </c>
      <c r="DI38" s="395">
        <v>826.34399999999994</v>
      </c>
      <c r="DJ38" s="395">
        <v>950.202</v>
      </c>
      <c r="DK38" s="395">
        <v>996.49800000000005</v>
      </c>
      <c r="DL38" s="395">
        <v>1081.32</v>
      </c>
      <c r="DM38" s="395">
        <v>1242.69</v>
      </c>
      <c r="DN38" s="395">
        <v>1284.4740000000002</v>
      </c>
      <c r="DO38" s="395">
        <v>1455.192</v>
      </c>
      <c r="DP38" s="395">
        <v>1397.1659999999999</v>
      </c>
      <c r="DQ38" s="395">
        <v>1260.192</v>
      </c>
      <c r="DR38" s="395">
        <v>1302.7620000000002</v>
      </c>
      <c r="DS38" s="395">
        <v>1360.2719999999999</v>
      </c>
      <c r="DT38" s="395">
        <v>1613.7179999999998</v>
      </c>
      <c r="DU38" s="395">
        <v>1633.53</v>
      </c>
      <c r="DV38" s="395">
        <v>1801.4640000000002</v>
      </c>
      <c r="DW38" s="395">
        <v>1695.204</v>
      </c>
      <c r="DX38" s="395">
        <v>1792.3319999999999</v>
      </c>
      <c r="DY38" s="395">
        <v>1896.7859999999998</v>
      </c>
      <c r="DZ38" s="395">
        <v>1633.806</v>
      </c>
      <c r="EA38" s="395">
        <v>1745.4900000000002</v>
      </c>
      <c r="EB38" s="395">
        <v>1547.694</v>
      </c>
      <c r="EC38" s="395">
        <v>1253.796</v>
      </c>
      <c r="ED38" s="395">
        <v>1212.0539999999999</v>
      </c>
      <c r="EE38" s="395">
        <v>1257.288</v>
      </c>
      <c r="EF38" s="395">
        <v>1391.1779999999999</v>
      </c>
      <c r="EG38" s="395">
        <v>1193.598</v>
      </c>
      <c r="EH38" s="395">
        <v>1312.0919999999999</v>
      </c>
      <c r="EI38" s="395">
        <v>1139.5919999999999</v>
      </c>
      <c r="EJ38" s="395">
        <v>1126.914</v>
      </c>
      <c r="EK38" s="395">
        <v>1014.1800000000001</v>
      </c>
      <c r="EL38" s="395">
        <v>954.91199999999992</v>
      </c>
      <c r="EM38" s="395">
        <v>1028.3220000000001</v>
      </c>
      <c r="EN38" s="395">
        <v>938.02199999999993</v>
      </c>
      <c r="EO38" s="395">
        <v>873.702</v>
      </c>
      <c r="EP38" s="395">
        <v>878.28600000000006</v>
      </c>
      <c r="EQ38" s="395">
        <v>879.37200000000007</v>
      </c>
      <c r="ER38" s="395">
        <v>982.23599999999988</v>
      </c>
      <c r="ES38" s="395">
        <v>939.25199999999995</v>
      </c>
      <c r="ET38" s="395">
        <v>1125.3000000000002</v>
      </c>
      <c r="EU38" s="395">
        <v>982.91399999999999</v>
      </c>
      <c r="EV38" s="395">
        <v>996.678</v>
      </c>
      <c r="EW38" s="395">
        <v>934.60799999999995</v>
      </c>
      <c r="EX38" s="395">
        <v>929.33400000000006</v>
      </c>
      <c r="EY38" s="395">
        <v>1015.008</v>
      </c>
      <c r="EZ38" s="395">
        <v>996.56999999999994</v>
      </c>
      <c r="FA38" s="395">
        <v>897.59399999999994</v>
      </c>
      <c r="FB38" s="395">
        <v>911.61</v>
      </c>
      <c r="FC38" s="395">
        <v>824.04</v>
      </c>
      <c r="FD38" s="395">
        <v>896.58600000000001</v>
      </c>
      <c r="FE38" s="395">
        <v>793.90200000000004</v>
      </c>
      <c r="FF38" s="395">
        <v>924.39599999999996</v>
      </c>
      <c r="FG38" s="395">
        <v>879.52199999999993</v>
      </c>
      <c r="FH38" s="395">
        <v>885.68399999999997</v>
      </c>
      <c r="FI38" s="395">
        <v>760.09199999999998</v>
      </c>
      <c r="FJ38" s="395">
        <v>800.75400000000002</v>
      </c>
      <c r="FK38" s="395">
        <v>808.19400000000007</v>
      </c>
      <c r="FL38" s="395">
        <v>823.15800000000013</v>
      </c>
      <c r="FM38" s="395">
        <v>768.73799999999994</v>
      </c>
      <c r="FN38" s="395">
        <v>742.18799999999999</v>
      </c>
      <c r="FO38" s="395">
        <v>682.23</v>
      </c>
      <c r="FP38" s="395">
        <v>668.47199999999998</v>
      </c>
      <c r="FQ38" s="395">
        <v>607.37400000000002</v>
      </c>
      <c r="FR38" s="395">
        <v>547.91399999999999</v>
      </c>
      <c r="FS38" s="395">
        <v>432.69600000000003</v>
      </c>
      <c r="FT38" s="395">
        <v>543.51</v>
      </c>
      <c r="FU38" s="395">
        <v>711.07799999999997</v>
      </c>
      <c r="FV38" s="395">
        <v>672.15599999999995</v>
      </c>
      <c r="FW38" s="395">
        <v>744.97799999999995</v>
      </c>
      <c r="FX38" s="395">
        <v>762.46199999999999</v>
      </c>
      <c r="FY38" s="395">
        <v>801.30599999999993</v>
      </c>
      <c r="FZ38" s="395">
        <v>715.37400000000002</v>
      </c>
      <c r="GA38" s="395">
        <v>639.774</v>
      </c>
      <c r="GB38" s="395">
        <v>627.54</v>
      </c>
      <c r="GC38" s="395">
        <v>557.322</v>
      </c>
      <c r="GD38" s="395">
        <v>635.54999999999995</v>
      </c>
      <c r="GE38" s="395">
        <v>635.05200000000002</v>
      </c>
      <c r="GF38" s="395">
        <v>621.03</v>
      </c>
      <c r="GG38" s="395">
        <v>664.27800000000002</v>
      </c>
      <c r="GH38" s="395">
        <v>658.01400000000001</v>
      </c>
      <c r="GI38" s="395">
        <v>571.68000000000006</v>
      </c>
      <c r="GJ38" s="395">
        <v>581.49</v>
      </c>
      <c r="GK38" s="395">
        <v>573.822</v>
      </c>
      <c r="GL38" s="395">
        <v>591.072</v>
      </c>
      <c r="GM38" s="395">
        <v>636.58799999999997</v>
      </c>
      <c r="GN38" s="395">
        <v>765.91200000000003</v>
      </c>
      <c r="GO38" s="395">
        <v>732.45</v>
      </c>
      <c r="GP38" s="395">
        <v>760.65000000000009</v>
      </c>
      <c r="GQ38" s="395">
        <v>823.41000000000008</v>
      </c>
      <c r="GR38" s="395">
        <v>621.94200000000001</v>
      </c>
      <c r="GS38" s="395">
        <v>779.11800000000005</v>
      </c>
      <c r="GT38" s="395">
        <v>918.80399999999986</v>
      </c>
      <c r="GU38" s="395">
        <v>926.96399999999994</v>
      </c>
      <c r="GV38" s="395">
        <v>939.28199999999993</v>
      </c>
      <c r="GW38" s="395">
        <v>853.92</v>
      </c>
      <c r="GX38" s="395">
        <v>832.00199999999995</v>
      </c>
      <c r="GY38" s="395">
        <v>798.70799999999997</v>
      </c>
      <c r="GZ38" s="395">
        <v>826.37999999999988</v>
      </c>
      <c r="HA38" s="395">
        <v>834.52800000000002</v>
      </c>
      <c r="HB38" s="395">
        <v>818.74199999999996</v>
      </c>
      <c r="HC38" s="395">
        <v>820.51200000000006</v>
      </c>
      <c r="HD38" s="395">
        <v>987.89400000000001</v>
      </c>
      <c r="HE38" s="395">
        <v>909.18000000000006</v>
      </c>
      <c r="HF38" s="395">
        <v>713.82600000000002</v>
      </c>
      <c r="HG38" s="395">
        <v>809.72400000000005</v>
      </c>
      <c r="HH38" s="395">
        <v>824.92200000000003</v>
      </c>
      <c r="HI38" s="395">
        <v>749.06999999999994</v>
      </c>
      <c r="HJ38" s="395">
        <v>875.29200000000003</v>
      </c>
      <c r="HK38" s="395">
        <v>869.20799999999997</v>
      </c>
      <c r="HL38" s="395">
        <v>777.94200000000001</v>
      </c>
      <c r="HM38" s="395">
        <v>842.53199999999993</v>
      </c>
      <c r="HN38" s="395">
        <v>898.65000000000009</v>
      </c>
      <c r="HO38" s="395">
        <v>757.548</v>
      </c>
      <c r="HP38" s="395">
        <v>813.93000000000006</v>
      </c>
      <c r="HQ38" s="395">
        <v>778.428</v>
      </c>
      <c r="HR38" s="395">
        <v>787.47</v>
      </c>
      <c r="HS38" s="395">
        <v>725.09999999999991</v>
      </c>
      <c r="HT38" s="395">
        <v>913.9559999999999</v>
      </c>
      <c r="HU38" s="395">
        <v>982.11599999999999</v>
      </c>
      <c r="HV38" s="395">
        <v>892.1880000000001</v>
      </c>
      <c r="HW38" s="395">
        <v>922.25400000000002</v>
      </c>
      <c r="HX38" s="395">
        <v>798.19799999999987</v>
      </c>
      <c r="HY38" s="395">
        <v>790.41000000000008</v>
      </c>
      <c r="HZ38" s="395">
        <v>801.70799999999997</v>
      </c>
      <c r="IA38" s="395">
        <v>844.76400000000012</v>
      </c>
      <c r="IB38" s="395">
        <v>950.7059999999999</v>
      </c>
      <c r="IC38" s="395">
        <v>1221.9119999999998</v>
      </c>
      <c r="ID38" s="395">
        <v>1110.0840000000001</v>
      </c>
      <c r="IE38" s="395">
        <v>1148.4119999999998</v>
      </c>
      <c r="IF38" s="395">
        <v>1204.854</v>
      </c>
      <c r="IG38" s="395">
        <v>1302.4680000000001</v>
      </c>
      <c r="IH38" s="395">
        <v>1474.902</v>
      </c>
      <c r="II38" s="395">
        <v>1347.18</v>
      </c>
      <c r="IJ38" s="395">
        <v>1483.9680000000001</v>
      </c>
      <c r="IK38" s="395">
        <v>1402.884</v>
      </c>
      <c r="IL38" s="395">
        <v>1474.2660000000001</v>
      </c>
      <c r="IM38" s="395">
        <v>1463.604</v>
      </c>
      <c r="IN38" s="15">
        <v>1391.94</v>
      </c>
      <c r="IO38" s="15">
        <v>1419.114</v>
      </c>
      <c r="IP38" s="15">
        <v>1276.692</v>
      </c>
      <c r="IQ38" s="15">
        <v>1305.2159999999999</v>
      </c>
      <c r="IR38" s="15">
        <v>1195.2660000000001</v>
      </c>
      <c r="IS38" s="15">
        <v>1043.346</v>
      </c>
      <c r="IT38" s="15">
        <v>1058.0160000000001</v>
      </c>
      <c r="IU38" s="15">
        <v>1050.3240000000001</v>
      </c>
      <c r="IV38" s="15">
        <v>1060.326</v>
      </c>
      <c r="IW38" s="15">
        <v>884.25599999999997</v>
      </c>
      <c r="IX38" s="15">
        <v>1175.7159999999999</v>
      </c>
      <c r="IY38" s="15">
        <v>1297.8040000000001</v>
      </c>
      <c r="IZ38" s="15">
        <v>1884.4680000000001</v>
      </c>
      <c r="JA38" s="15">
        <v>2416.998</v>
      </c>
      <c r="JB38" s="15">
        <v>1971.0719999999999</v>
      </c>
      <c r="JC38" s="15">
        <v>1767.92</v>
      </c>
      <c r="JD38" s="15">
        <v>1660.9380000000001</v>
      </c>
      <c r="JE38" s="447">
        <v>1716.8440000000001</v>
      </c>
    </row>
    <row r="39" spans="1:519" ht="15" thickBot="1" x14ac:dyDescent="0.35">
      <c r="A39" s="448" t="s">
        <v>117</v>
      </c>
      <c r="B39" s="449">
        <v>17462.466</v>
      </c>
      <c r="C39" s="449">
        <v>17702.400000000001</v>
      </c>
      <c r="D39" s="449">
        <v>21075.78</v>
      </c>
      <c r="E39" s="449">
        <v>19150.23</v>
      </c>
      <c r="F39" s="449">
        <v>19788.216</v>
      </c>
      <c r="G39" s="449">
        <v>19680.167999999998</v>
      </c>
      <c r="H39" s="449">
        <v>19423.452000000001</v>
      </c>
      <c r="I39" s="449">
        <v>20383.067999999999</v>
      </c>
      <c r="J39" s="449">
        <v>19865.928</v>
      </c>
      <c r="K39" s="449">
        <v>20545.692000000003</v>
      </c>
      <c r="L39" s="449">
        <v>20982.329999999998</v>
      </c>
      <c r="M39" s="449">
        <v>19663.71</v>
      </c>
      <c r="N39" s="449">
        <v>20097.702000000001</v>
      </c>
      <c r="O39" s="449">
        <v>18306.126</v>
      </c>
      <c r="P39" s="449">
        <v>19761.239999999998</v>
      </c>
      <c r="Q39" s="449">
        <v>18956.112000000001</v>
      </c>
      <c r="R39" s="449">
        <v>18938.292000000001</v>
      </c>
      <c r="S39" s="449">
        <v>17214.036</v>
      </c>
      <c r="T39" s="449">
        <v>19678.883999999998</v>
      </c>
      <c r="U39" s="449">
        <v>19228.698</v>
      </c>
      <c r="V39" s="449">
        <v>20141.946</v>
      </c>
      <c r="W39" s="449">
        <v>20571.186000000002</v>
      </c>
      <c r="X39" s="449">
        <v>21355.56</v>
      </c>
      <c r="Y39" s="449">
        <v>19617.03</v>
      </c>
      <c r="Z39" s="449">
        <v>19699.991999999998</v>
      </c>
      <c r="AA39" s="449">
        <v>19463.682000000001</v>
      </c>
      <c r="AB39" s="449">
        <v>21910.056</v>
      </c>
      <c r="AC39" s="449">
        <v>20225.705999999998</v>
      </c>
      <c r="AD39" s="449">
        <v>22539.917999999998</v>
      </c>
      <c r="AE39" s="449">
        <v>20795.633999999998</v>
      </c>
      <c r="AF39" s="449">
        <v>21148.23</v>
      </c>
      <c r="AG39" s="449">
        <v>21764.417999999998</v>
      </c>
      <c r="AH39" s="449">
        <v>21286.41</v>
      </c>
      <c r="AI39" s="449">
        <v>22075.56</v>
      </c>
      <c r="AJ39" s="449">
        <v>22243.187999999998</v>
      </c>
      <c r="AK39" s="449">
        <v>20586.665999999997</v>
      </c>
      <c r="AL39" s="449">
        <v>21831.87</v>
      </c>
      <c r="AM39" s="449">
        <v>23100.263999999999</v>
      </c>
      <c r="AN39" s="449">
        <v>25045.277999999998</v>
      </c>
      <c r="AO39" s="449">
        <v>23909.964</v>
      </c>
      <c r="AP39" s="449">
        <v>25523.766000000003</v>
      </c>
      <c r="AQ39" s="449">
        <v>24555.06</v>
      </c>
      <c r="AR39" s="449">
        <v>25522.655999999999</v>
      </c>
      <c r="AS39" s="449">
        <v>25215.120000000003</v>
      </c>
      <c r="AT39" s="449">
        <v>25979.904000000002</v>
      </c>
      <c r="AU39" s="449">
        <v>26241.797999999999</v>
      </c>
      <c r="AV39" s="449">
        <v>26032.554</v>
      </c>
      <c r="AW39" s="449">
        <v>24548.760000000002</v>
      </c>
      <c r="AX39" s="449">
        <v>24063.371999999999</v>
      </c>
      <c r="AY39" s="449">
        <v>24350.844000000001</v>
      </c>
      <c r="AZ39" s="449">
        <v>26811.281999999999</v>
      </c>
      <c r="BA39" s="449">
        <v>27046.428</v>
      </c>
      <c r="BB39" s="449">
        <v>28466.868000000002</v>
      </c>
      <c r="BC39" s="449">
        <v>27142.590000000004</v>
      </c>
      <c r="BD39" s="449">
        <v>29021.088</v>
      </c>
      <c r="BE39" s="449">
        <v>28866.198000000004</v>
      </c>
      <c r="BF39" s="449">
        <v>28882.164000000004</v>
      </c>
      <c r="BG39" s="449">
        <v>28812.606</v>
      </c>
      <c r="BH39" s="449">
        <v>30451.08</v>
      </c>
      <c r="BI39" s="449">
        <v>27349.260000000002</v>
      </c>
      <c r="BJ39" s="449">
        <v>26271.858</v>
      </c>
      <c r="BK39" s="449">
        <v>28879.614000000001</v>
      </c>
      <c r="BL39" s="449">
        <v>31655.364000000001</v>
      </c>
      <c r="BM39" s="449">
        <v>29871.276000000002</v>
      </c>
      <c r="BN39" s="449">
        <v>33996.516000000003</v>
      </c>
      <c r="BO39" s="449">
        <v>33618.372000000003</v>
      </c>
      <c r="BP39" s="449">
        <v>33673.943999999996</v>
      </c>
      <c r="BQ39" s="449">
        <v>33321.606</v>
      </c>
      <c r="BR39" s="449">
        <v>34405.061999999998</v>
      </c>
      <c r="BS39" s="449">
        <v>34717.962</v>
      </c>
      <c r="BT39" s="449">
        <v>35181.012000000002</v>
      </c>
      <c r="BU39" s="449">
        <v>32501.135999999999</v>
      </c>
      <c r="BV39" s="449">
        <v>31944.786</v>
      </c>
      <c r="BW39" s="449">
        <v>34426.637999999999</v>
      </c>
      <c r="BX39" s="449">
        <v>36962.112000000001</v>
      </c>
      <c r="BY39" s="449">
        <v>33856.692000000003</v>
      </c>
      <c r="BZ39" s="449">
        <v>36772.338000000003</v>
      </c>
      <c r="CA39" s="449">
        <v>35861.933999999994</v>
      </c>
      <c r="CB39" s="449">
        <v>36387.402000000002</v>
      </c>
      <c r="CC39" s="449">
        <v>38092.637999999999</v>
      </c>
      <c r="CD39" s="449">
        <v>36694.631999999998</v>
      </c>
      <c r="CE39" s="449">
        <v>34631.046000000002</v>
      </c>
      <c r="CF39" s="449">
        <v>35750.022000000004</v>
      </c>
      <c r="CG39" s="449">
        <v>30838.517999999996</v>
      </c>
      <c r="CH39" s="449">
        <v>31377.678</v>
      </c>
      <c r="CI39" s="449">
        <v>33744.425999999999</v>
      </c>
      <c r="CJ39" s="449">
        <v>34429.331999999995</v>
      </c>
      <c r="CK39" s="449">
        <v>35228.724000000002</v>
      </c>
      <c r="CL39" s="449">
        <v>37526.520000000004</v>
      </c>
      <c r="CM39" s="449">
        <v>37949.165999999997</v>
      </c>
      <c r="CN39" s="449">
        <v>40102.368000000002</v>
      </c>
      <c r="CO39" s="449">
        <v>42670.512000000002</v>
      </c>
      <c r="CP39" s="449">
        <v>41268.353999999999</v>
      </c>
      <c r="CQ39" s="449">
        <v>42641.046000000002</v>
      </c>
      <c r="CR39" s="449">
        <v>39661.914000000004</v>
      </c>
      <c r="CS39" s="449">
        <v>35950.644</v>
      </c>
      <c r="CT39" s="449">
        <v>34041.408000000003</v>
      </c>
      <c r="CU39" s="449">
        <v>34087.074000000001</v>
      </c>
      <c r="CV39" s="449">
        <v>36361.067999999999</v>
      </c>
      <c r="CW39" s="449">
        <v>35136.425999999999</v>
      </c>
      <c r="CX39" s="449">
        <v>36014.843999999997</v>
      </c>
      <c r="CY39" s="449">
        <v>33914.675999999999</v>
      </c>
      <c r="CZ39" s="449">
        <v>33481.745999999999</v>
      </c>
      <c r="DA39" s="449">
        <v>32664.665999999997</v>
      </c>
      <c r="DB39" s="449">
        <v>30996.834000000003</v>
      </c>
      <c r="DC39" s="449">
        <v>32434.313999999998</v>
      </c>
      <c r="DD39" s="449">
        <v>31260.696</v>
      </c>
      <c r="DE39" s="449">
        <v>29385.642</v>
      </c>
      <c r="DF39" s="449">
        <v>28431.563999999998</v>
      </c>
      <c r="DG39" s="449">
        <v>31166.807999999997</v>
      </c>
      <c r="DH39" s="449">
        <v>33991.83</v>
      </c>
      <c r="DI39" s="449">
        <v>32895.588000000003</v>
      </c>
      <c r="DJ39" s="449">
        <v>35387.286</v>
      </c>
      <c r="DK39" s="449">
        <v>35458.415999999997</v>
      </c>
      <c r="DL39" s="449">
        <v>37123.649999999994</v>
      </c>
      <c r="DM39" s="449">
        <v>38226.101999999999</v>
      </c>
      <c r="DN39" s="449">
        <v>37767.767999999996</v>
      </c>
      <c r="DO39" s="449">
        <v>40105.974000000002</v>
      </c>
      <c r="DP39" s="449">
        <v>41030.567999999999</v>
      </c>
      <c r="DQ39" s="449">
        <v>36963.816000000006</v>
      </c>
      <c r="DR39" s="449">
        <v>37961.316000000006</v>
      </c>
      <c r="DS39" s="449">
        <v>38723.508000000002</v>
      </c>
      <c r="DT39" s="449">
        <v>42836.19</v>
      </c>
      <c r="DU39" s="449">
        <v>41802.767999999996</v>
      </c>
      <c r="DV39" s="449">
        <v>48160.296000000002</v>
      </c>
      <c r="DW39" s="449">
        <v>46814.627999999997</v>
      </c>
      <c r="DX39" s="449">
        <v>47618.748</v>
      </c>
      <c r="DY39" s="449">
        <v>48974.124000000003</v>
      </c>
      <c r="DZ39" s="449">
        <v>48826.193999999996</v>
      </c>
      <c r="EA39" s="449">
        <v>50131.326000000001</v>
      </c>
      <c r="EB39" s="449">
        <v>50598.432000000001</v>
      </c>
      <c r="EC39" s="449">
        <v>44413.637999999999</v>
      </c>
      <c r="ED39" s="449">
        <v>50191.452000000005</v>
      </c>
      <c r="EE39" s="449">
        <v>54281.729999999996</v>
      </c>
      <c r="EF39" s="449">
        <v>58510.955999999991</v>
      </c>
      <c r="EG39" s="449">
        <v>56377.842000000004</v>
      </c>
      <c r="EH39" s="449">
        <v>59855.748000000007</v>
      </c>
      <c r="EI39" s="449">
        <v>57135.617999999995</v>
      </c>
      <c r="EJ39" s="449">
        <v>60024.173999999999</v>
      </c>
      <c r="EK39" s="449">
        <v>61134.078000000009</v>
      </c>
      <c r="EL39" s="449">
        <v>57355.308000000005</v>
      </c>
      <c r="EM39" s="449">
        <v>58924.008000000002</v>
      </c>
      <c r="EN39" s="449">
        <v>55920</v>
      </c>
      <c r="EO39" s="449">
        <v>51985.049999999996</v>
      </c>
      <c r="EP39" s="449">
        <v>55086.425999999999</v>
      </c>
      <c r="EQ39" s="449">
        <v>58267.583999999995</v>
      </c>
      <c r="ER39" s="449">
        <v>58132.62</v>
      </c>
      <c r="ES39" s="449">
        <v>59910.432000000001</v>
      </c>
      <c r="ET39" s="449">
        <v>58827.006000000001</v>
      </c>
      <c r="EU39" s="449">
        <v>56917.991999999998</v>
      </c>
      <c r="EV39" s="449">
        <v>59291.627999999997</v>
      </c>
      <c r="EW39" s="449">
        <v>60892.836000000003</v>
      </c>
      <c r="EX39" s="449">
        <v>55521.978000000003</v>
      </c>
      <c r="EY39" s="449">
        <v>55922.904000000002</v>
      </c>
      <c r="EZ39" s="449">
        <v>54639.966</v>
      </c>
      <c r="FA39" s="449">
        <v>46332.767999999996</v>
      </c>
      <c r="FB39" s="449">
        <v>46802.375999999997</v>
      </c>
      <c r="FC39" s="449">
        <v>48098.585999999996</v>
      </c>
      <c r="FD39" s="449">
        <v>54025.134000000005</v>
      </c>
      <c r="FE39" s="449">
        <v>51370.751999999993</v>
      </c>
      <c r="FF39" s="449">
        <v>54330.509999999995</v>
      </c>
      <c r="FG39" s="449">
        <v>50561.34</v>
      </c>
      <c r="FH39" s="449">
        <v>50809.53</v>
      </c>
      <c r="FI39" s="449">
        <v>51374.322</v>
      </c>
      <c r="FJ39" s="449">
        <v>50385.455999999991</v>
      </c>
      <c r="FK39" s="449">
        <v>54170.478000000003</v>
      </c>
      <c r="FL39" s="449">
        <v>52716.203999999998</v>
      </c>
      <c r="FM39" s="449">
        <v>46418.256000000001</v>
      </c>
      <c r="FN39" s="449">
        <v>45847.331999999995</v>
      </c>
      <c r="FO39" s="449">
        <v>46432.056000000004</v>
      </c>
      <c r="FP39" s="449">
        <v>49424.28</v>
      </c>
      <c r="FQ39" s="449">
        <v>46675.445999999996</v>
      </c>
      <c r="FR39" s="449">
        <v>46656.942000000003</v>
      </c>
      <c r="FS39" s="449">
        <v>45945.324000000001</v>
      </c>
      <c r="FT39" s="449">
        <v>47273.64</v>
      </c>
      <c r="FU39" s="449">
        <v>47275.884000000005</v>
      </c>
      <c r="FV39" s="449">
        <v>47240.94</v>
      </c>
      <c r="FW39" s="449">
        <v>48971.093999999997</v>
      </c>
      <c r="FX39" s="449">
        <v>46119.084000000003</v>
      </c>
      <c r="FY39" s="449">
        <v>42654.036</v>
      </c>
      <c r="FZ39" s="449">
        <v>41631.192000000003</v>
      </c>
      <c r="GA39" s="449">
        <v>42148.398000000001</v>
      </c>
      <c r="GB39" s="449">
        <v>41697.144</v>
      </c>
      <c r="GC39" s="449">
        <v>41573.915999999997</v>
      </c>
      <c r="GD39" s="449">
        <v>43471.938000000002</v>
      </c>
      <c r="GE39" s="449">
        <v>41108.100000000006</v>
      </c>
      <c r="GF39" s="449">
        <v>44404.955999999998</v>
      </c>
      <c r="GG39" s="449">
        <v>43801.122000000003</v>
      </c>
      <c r="GH39" s="449">
        <v>41290.865999999995</v>
      </c>
      <c r="GI39" s="449">
        <v>43926.966</v>
      </c>
      <c r="GJ39" s="449">
        <v>44870.796000000002</v>
      </c>
      <c r="GK39" s="449">
        <v>40754.207999999999</v>
      </c>
      <c r="GL39" s="449">
        <v>42112.17</v>
      </c>
      <c r="GM39" s="449">
        <v>42792.384000000005</v>
      </c>
      <c r="GN39" s="449">
        <v>45326.226000000002</v>
      </c>
      <c r="GO39" s="449">
        <v>44432.442000000003</v>
      </c>
      <c r="GP39" s="449">
        <v>47220.144</v>
      </c>
      <c r="GQ39" s="449">
        <v>44723.868000000002</v>
      </c>
      <c r="GR39" s="449">
        <v>46492.86</v>
      </c>
      <c r="GS39" s="449">
        <v>46270.301999999996</v>
      </c>
      <c r="GT39" s="449">
        <v>45198.714</v>
      </c>
      <c r="GU39" s="449">
        <v>48824.358</v>
      </c>
      <c r="GV39" s="449">
        <v>48678.149999999994</v>
      </c>
      <c r="GW39" s="449">
        <v>43807.17</v>
      </c>
      <c r="GX39" s="449">
        <v>44309.55</v>
      </c>
      <c r="GY39" s="449">
        <v>46305.425999999999</v>
      </c>
      <c r="GZ39" s="449">
        <v>51229.008000000002</v>
      </c>
      <c r="HA39" s="449">
        <v>49304.015999999996</v>
      </c>
      <c r="HB39" s="449">
        <v>51955.313999999998</v>
      </c>
      <c r="HC39" s="449">
        <v>49420.200000000004</v>
      </c>
      <c r="HD39" s="449">
        <v>53507.19</v>
      </c>
      <c r="HE39" s="449">
        <v>52677.833999999995</v>
      </c>
      <c r="HF39" s="449">
        <v>50594.520000000004</v>
      </c>
      <c r="HG39" s="449">
        <v>55594.998000000007</v>
      </c>
      <c r="HH39" s="449">
        <v>55764.515999999996</v>
      </c>
      <c r="HI39" s="449">
        <v>49171.745999999999</v>
      </c>
      <c r="HJ39" s="449">
        <v>52361.04</v>
      </c>
      <c r="HK39" s="449">
        <v>52654.29</v>
      </c>
      <c r="HL39" s="449">
        <v>55513.788</v>
      </c>
      <c r="HM39" s="449">
        <v>55691.622000000003</v>
      </c>
      <c r="HN39" s="449">
        <v>58742.838000000003</v>
      </c>
      <c r="HO39" s="449">
        <v>54246.384000000005</v>
      </c>
      <c r="HP39" s="449">
        <v>60241.265999999996</v>
      </c>
      <c r="HQ39" s="449">
        <v>56964.941999999995</v>
      </c>
      <c r="HR39" s="449">
        <v>55196.076000000001</v>
      </c>
      <c r="HS39" s="449">
        <v>59773.583999999995</v>
      </c>
      <c r="HT39" s="449">
        <v>61129.853999999992</v>
      </c>
      <c r="HU39" s="449">
        <v>52228.763999999996</v>
      </c>
      <c r="HV39" s="449">
        <v>55403.076000000001</v>
      </c>
      <c r="HW39" s="449">
        <v>58200.384000000005</v>
      </c>
      <c r="HX39" s="449">
        <v>61221.042000000001</v>
      </c>
      <c r="HY39" s="449">
        <v>56971.686000000002</v>
      </c>
      <c r="HZ39" s="449">
        <v>60206.256000000001</v>
      </c>
      <c r="IA39" s="449">
        <v>60924.78</v>
      </c>
      <c r="IB39" s="449">
        <v>64218.69</v>
      </c>
      <c r="IC39" s="449">
        <v>64578.762000000002</v>
      </c>
      <c r="ID39" s="449">
        <v>63691.044000000009</v>
      </c>
      <c r="IE39" s="449">
        <v>65418.156000000003</v>
      </c>
      <c r="IF39" s="449">
        <v>66931.259999999995</v>
      </c>
      <c r="IG39" s="449">
        <v>58858.493999999999</v>
      </c>
      <c r="IH39" s="449">
        <v>62503.637999999992</v>
      </c>
      <c r="II39" s="449">
        <v>62870.598000000005</v>
      </c>
      <c r="IJ39" s="449">
        <v>71805.432000000001</v>
      </c>
      <c r="IK39" s="449">
        <v>68155.319999999992</v>
      </c>
      <c r="IL39" s="449">
        <v>70918.83600000001</v>
      </c>
      <c r="IM39" s="449">
        <v>69914.34599999999</v>
      </c>
      <c r="IN39" s="450">
        <v>68543.13</v>
      </c>
      <c r="IO39" s="450">
        <v>72351.785999999993</v>
      </c>
      <c r="IP39" s="450">
        <v>70333.872000000003</v>
      </c>
      <c r="IQ39" s="450">
        <v>70672.728000000003</v>
      </c>
      <c r="IR39" s="450">
        <v>72382.343999999997</v>
      </c>
      <c r="IS39" s="450">
        <v>62761.703999999998</v>
      </c>
      <c r="IT39" s="450">
        <v>64331.784</v>
      </c>
      <c r="IU39" s="450">
        <v>66241.812000000005</v>
      </c>
      <c r="IV39" s="450">
        <v>71999.843999999997</v>
      </c>
      <c r="IW39" s="451">
        <v>72160.262000000002</v>
      </c>
      <c r="IX39" s="451">
        <v>73606.054000000004</v>
      </c>
      <c r="IY39" s="451">
        <v>72969.94</v>
      </c>
      <c r="IZ39" s="451">
        <v>72246.631999999998</v>
      </c>
      <c r="JA39" s="451">
        <v>73702.331999999995</v>
      </c>
      <c r="JB39" s="451">
        <v>76144.702000000005</v>
      </c>
      <c r="JC39" s="451">
        <v>73725.937999999995</v>
      </c>
      <c r="JD39" s="451">
        <v>74324.054000000004</v>
      </c>
      <c r="JE39" s="452">
        <v>76768.482000000004</v>
      </c>
    </row>
    <row r="40" spans="1:519" s="3" customFormat="1" x14ac:dyDescent="0.3">
      <c r="JF40" s="107"/>
      <c r="JG40" s="107"/>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row>
    <row r="41" spans="1:519" s="3" customFormat="1" x14ac:dyDescent="0.3">
      <c r="JF41" s="107"/>
      <c r="JG41" s="107"/>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row>
    <row r="42" spans="1:519" ht="15" thickBot="1" x14ac:dyDescent="0.35">
      <c r="A42" s="4" t="s">
        <v>194</v>
      </c>
      <c r="D42" s="453"/>
      <c r="G42" s="453"/>
      <c r="J42" s="453"/>
      <c r="M42" s="453"/>
      <c r="P42" s="453"/>
      <c r="S42" s="453"/>
      <c r="V42" s="453"/>
      <c r="Y42" s="453"/>
      <c r="AB42" s="453"/>
      <c r="AE42" s="453"/>
      <c r="AH42" s="453"/>
      <c r="AK42" s="453"/>
      <c r="AN42" s="453"/>
      <c r="AQ42" s="453"/>
      <c r="AT42" s="453"/>
      <c r="AW42" s="453"/>
      <c r="AZ42" s="453"/>
      <c r="BC42" s="453"/>
      <c r="BF42" s="453"/>
      <c r="BI42" s="453"/>
      <c r="BL42" s="453"/>
      <c r="BO42" s="453"/>
      <c r="BR42" s="453"/>
      <c r="BU42" s="453"/>
      <c r="BX42" s="453"/>
      <c r="CA42" s="453"/>
      <c r="CD42" s="453"/>
      <c r="CG42" s="453"/>
      <c r="CJ42" s="453"/>
      <c r="CM42" s="453"/>
      <c r="CP42" s="453"/>
      <c r="CS42" s="453"/>
      <c r="CV42" s="453"/>
      <c r="CY42" s="453"/>
      <c r="DB42" s="453"/>
      <c r="DE42" s="453"/>
      <c r="DH42" s="453"/>
      <c r="DK42" s="453"/>
      <c r="DN42" s="453"/>
      <c r="DQ42" s="453"/>
      <c r="DT42" s="453"/>
      <c r="DW42" s="453"/>
      <c r="DZ42" s="453"/>
      <c r="EC42" s="453"/>
      <c r="EF42" s="453"/>
      <c r="EI42" s="453"/>
      <c r="EL42" s="453"/>
      <c r="EO42" s="453"/>
      <c r="ER42" s="453"/>
      <c r="EU42" s="453"/>
      <c r="EX42" s="453"/>
      <c r="FA42" s="453"/>
      <c r="FD42" s="453"/>
      <c r="FG42" s="453"/>
      <c r="FJ42" s="453"/>
      <c r="FM42" s="453"/>
      <c r="FP42" s="453"/>
      <c r="FS42" s="453"/>
      <c r="FV42" s="453"/>
      <c r="FY42" s="453"/>
      <c r="GB42" s="453"/>
      <c r="GE42" s="453"/>
      <c r="GH42" s="453"/>
      <c r="GK42" s="453"/>
      <c r="GN42" s="453"/>
      <c r="GQ42" s="453"/>
      <c r="GT42" s="453"/>
      <c r="GW42" s="453"/>
      <c r="GZ42" s="453"/>
      <c r="HC42" s="453"/>
      <c r="HF42" s="453"/>
      <c r="HI42" s="453"/>
      <c r="IA42" s="413"/>
      <c r="IB42" s="413"/>
      <c r="IC42" s="413"/>
      <c r="ID42" s="413"/>
      <c r="IE42" s="413"/>
      <c r="IF42" s="413"/>
      <c r="IG42" s="413"/>
      <c r="IH42" s="413"/>
      <c r="II42" s="413"/>
      <c r="IJ42" s="413"/>
      <c r="IK42" s="413"/>
      <c r="IL42" s="413"/>
      <c r="IM42" s="413"/>
      <c r="IN42" s="3"/>
    </row>
    <row r="43" spans="1:519" x14ac:dyDescent="0.3">
      <c r="A43" s="388" t="s">
        <v>82</v>
      </c>
      <c r="B43" s="440">
        <v>36892</v>
      </c>
      <c r="C43" s="440">
        <v>36923</v>
      </c>
      <c r="D43" s="440">
        <v>36951</v>
      </c>
      <c r="E43" s="440">
        <v>36982</v>
      </c>
      <c r="F43" s="440">
        <v>37012</v>
      </c>
      <c r="G43" s="440">
        <v>37043</v>
      </c>
      <c r="H43" s="440">
        <v>37073</v>
      </c>
      <c r="I43" s="440">
        <v>37104</v>
      </c>
      <c r="J43" s="440">
        <v>37135</v>
      </c>
      <c r="K43" s="440">
        <v>37165</v>
      </c>
      <c r="L43" s="440">
        <v>37196</v>
      </c>
      <c r="M43" s="440">
        <v>37226</v>
      </c>
      <c r="N43" s="440">
        <v>37257</v>
      </c>
      <c r="O43" s="440">
        <v>37288</v>
      </c>
      <c r="P43" s="440">
        <v>37316</v>
      </c>
      <c r="Q43" s="440">
        <v>37347</v>
      </c>
      <c r="R43" s="440">
        <v>37377</v>
      </c>
      <c r="S43" s="440">
        <v>37408</v>
      </c>
      <c r="T43" s="440">
        <v>37438</v>
      </c>
      <c r="U43" s="440">
        <v>37469</v>
      </c>
      <c r="V43" s="440">
        <v>37500</v>
      </c>
      <c r="W43" s="440">
        <v>37530</v>
      </c>
      <c r="X43" s="440">
        <v>37561</v>
      </c>
      <c r="Y43" s="440">
        <v>37591</v>
      </c>
      <c r="Z43" s="440">
        <v>37622</v>
      </c>
      <c r="AA43" s="440">
        <v>37653</v>
      </c>
      <c r="AB43" s="440">
        <v>37681</v>
      </c>
      <c r="AC43" s="440">
        <v>37712</v>
      </c>
      <c r="AD43" s="440">
        <v>37742</v>
      </c>
      <c r="AE43" s="440">
        <v>37773</v>
      </c>
      <c r="AF43" s="440">
        <v>37803</v>
      </c>
      <c r="AG43" s="440">
        <v>37834</v>
      </c>
      <c r="AH43" s="440">
        <v>37865</v>
      </c>
      <c r="AI43" s="440">
        <v>37895</v>
      </c>
      <c r="AJ43" s="440">
        <v>37926</v>
      </c>
      <c r="AK43" s="440">
        <v>37956</v>
      </c>
      <c r="AL43" s="440">
        <v>37987</v>
      </c>
      <c r="AM43" s="440">
        <v>38018</v>
      </c>
      <c r="AN43" s="440">
        <v>38047</v>
      </c>
      <c r="AO43" s="440">
        <v>38078</v>
      </c>
      <c r="AP43" s="440">
        <v>38108</v>
      </c>
      <c r="AQ43" s="440">
        <v>38139</v>
      </c>
      <c r="AR43" s="440">
        <v>38169</v>
      </c>
      <c r="AS43" s="440">
        <v>38200</v>
      </c>
      <c r="AT43" s="440">
        <v>38231</v>
      </c>
      <c r="AU43" s="440">
        <v>38261</v>
      </c>
      <c r="AV43" s="440">
        <v>38292</v>
      </c>
      <c r="AW43" s="440">
        <v>38322</v>
      </c>
      <c r="AX43" s="440">
        <v>38353</v>
      </c>
      <c r="AY43" s="440">
        <v>38384</v>
      </c>
      <c r="AZ43" s="440">
        <v>38412</v>
      </c>
      <c r="BA43" s="440">
        <v>38443</v>
      </c>
      <c r="BB43" s="440">
        <v>38473</v>
      </c>
      <c r="BC43" s="440">
        <v>38504</v>
      </c>
      <c r="BD43" s="440">
        <v>38534</v>
      </c>
      <c r="BE43" s="440">
        <v>38565</v>
      </c>
      <c r="BF43" s="440">
        <v>38596</v>
      </c>
      <c r="BG43" s="440">
        <v>38626</v>
      </c>
      <c r="BH43" s="440">
        <v>38657</v>
      </c>
      <c r="BI43" s="440">
        <v>38687</v>
      </c>
      <c r="BJ43" s="440">
        <v>38718</v>
      </c>
      <c r="BK43" s="440">
        <v>38749</v>
      </c>
      <c r="BL43" s="440">
        <v>38777</v>
      </c>
      <c r="BM43" s="440">
        <v>38808</v>
      </c>
      <c r="BN43" s="440">
        <v>38838</v>
      </c>
      <c r="BO43" s="440">
        <v>38869</v>
      </c>
      <c r="BP43" s="440">
        <v>38899</v>
      </c>
      <c r="BQ43" s="440">
        <v>38930</v>
      </c>
      <c r="BR43" s="440">
        <v>38961</v>
      </c>
      <c r="BS43" s="440">
        <v>38991</v>
      </c>
      <c r="BT43" s="440">
        <v>39022</v>
      </c>
      <c r="BU43" s="440">
        <v>39052</v>
      </c>
      <c r="BV43" s="440">
        <v>39083</v>
      </c>
      <c r="BW43" s="440">
        <v>39114</v>
      </c>
      <c r="BX43" s="440">
        <v>39142</v>
      </c>
      <c r="BY43" s="440">
        <v>39173</v>
      </c>
      <c r="BZ43" s="440">
        <v>39203</v>
      </c>
      <c r="CA43" s="440">
        <v>39234</v>
      </c>
      <c r="CB43" s="440">
        <v>39264</v>
      </c>
      <c r="CC43" s="440">
        <v>39295</v>
      </c>
      <c r="CD43" s="440">
        <v>39326</v>
      </c>
      <c r="CE43" s="440">
        <v>39356</v>
      </c>
      <c r="CF43" s="441">
        <v>39387</v>
      </c>
      <c r="CG43" s="441">
        <v>39417</v>
      </c>
      <c r="CH43" s="441">
        <v>39448</v>
      </c>
      <c r="CI43" s="441">
        <v>39479</v>
      </c>
      <c r="CJ43" s="441">
        <v>39508</v>
      </c>
      <c r="CK43" s="441">
        <v>39539</v>
      </c>
      <c r="CL43" s="441">
        <v>39569</v>
      </c>
      <c r="CM43" s="441">
        <v>39600</v>
      </c>
      <c r="CN43" s="441">
        <v>39630</v>
      </c>
      <c r="CO43" s="441">
        <v>39661</v>
      </c>
      <c r="CP43" s="441">
        <v>39692</v>
      </c>
      <c r="CQ43" s="441">
        <v>39722</v>
      </c>
      <c r="CR43" s="441">
        <v>39753</v>
      </c>
      <c r="CS43" s="441">
        <v>39783</v>
      </c>
      <c r="CT43" s="441">
        <v>39814</v>
      </c>
      <c r="CU43" s="441">
        <v>39845</v>
      </c>
      <c r="CV43" s="441">
        <v>39873</v>
      </c>
      <c r="CW43" s="441">
        <v>39904</v>
      </c>
      <c r="CX43" s="441">
        <v>39934</v>
      </c>
      <c r="CY43" s="441">
        <v>39965</v>
      </c>
      <c r="CZ43" s="441">
        <v>39995</v>
      </c>
      <c r="DA43" s="441">
        <v>40026</v>
      </c>
      <c r="DB43" s="441">
        <v>40057</v>
      </c>
      <c r="DC43" s="441">
        <v>40087</v>
      </c>
      <c r="DD43" s="441">
        <v>40118</v>
      </c>
      <c r="DE43" s="441">
        <v>40148</v>
      </c>
      <c r="DF43" s="441">
        <v>40179</v>
      </c>
      <c r="DG43" s="441">
        <v>40210</v>
      </c>
      <c r="DH43" s="441">
        <v>40238</v>
      </c>
      <c r="DI43" s="441">
        <v>40269</v>
      </c>
      <c r="DJ43" s="441">
        <v>40299</v>
      </c>
      <c r="DK43" s="441">
        <v>40330</v>
      </c>
      <c r="DL43" s="441">
        <v>40360</v>
      </c>
      <c r="DM43" s="441">
        <v>40391</v>
      </c>
      <c r="DN43" s="441">
        <v>40422</v>
      </c>
      <c r="DO43" s="441">
        <v>40452</v>
      </c>
      <c r="DP43" s="441">
        <v>40483</v>
      </c>
      <c r="DQ43" s="441">
        <v>40513</v>
      </c>
      <c r="DR43" s="441">
        <v>40544</v>
      </c>
      <c r="DS43" s="441">
        <v>40575</v>
      </c>
      <c r="DT43" s="441">
        <v>40603</v>
      </c>
      <c r="DU43" s="441">
        <v>40634</v>
      </c>
      <c r="DV43" s="441">
        <v>40664</v>
      </c>
      <c r="DW43" s="441">
        <v>40695</v>
      </c>
      <c r="DX43" s="441">
        <v>40725</v>
      </c>
      <c r="DY43" s="441">
        <v>40756</v>
      </c>
      <c r="DZ43" s="441">
        <v>40787</v>
      </c>
      <c r="EA43" s="441">
        <v>40817</v>
      </c>
      <c r="EB43" s="441">
        <v>40848</v>
      </c>
      <c r="EC43" s="441">
        <v>40878</v>
      </c>
      <c r="ED43" s="441">
        <v>40909</v>
      </c>
      <c r="EE43" s="441">
        <v>40940</v>
      </c>
      <c r="EF43" s="441">
        <v>40969</v>
      </c>
      <c r="EG43" s="441">
        <v>41000</v>
      </c>
      <c r="EH43" s="441">
        <v>41030</v>
      </c>
      <c r="EI43" s="441">
        <v>41061</v>
      </c>
      <c r="EJ43" s="441">
        <v>41091</v>
      </c>
      <c r="EK43" s="441">
        <v>41122</v>
      </c>
      <c r="EL43" s="441">
        <v>41153</v>
      </c>
      <c r="EM43" s="441">
        <v>41183</v>
      </c>
      <c r="EN43" s="441">
        <v>41214</v>
      </c>
      <c r="EO43" s="441">
        <v>41244</v>
      </c>
      <c r="EP43" s="441">
        <v>41275</v>
      </c>
      <c r="EQ43" s="441">
        <v>41306</v>
      </c>
      <c r="ER43" s="441">
        <v>41334</v>
      </c>
      <c r="ES43" s="441">
        <v>41365</v>
      </c>
      <c r="ET43" s="441">
        <v>41395</v>
      </c>
      <c r="EU43" s="441">
        <v>41426</v>
      </c>
      <c r="EV43" s="441">
        <v>41456</v>
      </c>
      <c r="EW43" s="441">
        <v>41487</v>
      </c>
      <c r="EX43" s="441">
        <v>41518</v>
      </c>
      <c r="EY43" s="441">
        <v>41548</v>
      </c>
      <c r="EZ43" s="441">
        <v>41579</v>
      </c>
      <c r="FA43" s="441">
        <v>41609</v>
      </c>
      <c r="FB43" s="441">
        <v>41640</v>
      </c>
      <c r="FC43" s="441">
        <v>41671</v>
      </c>
      <c r="FD43" s="441">
        <v>41699</v>
      </c>
      <c r="FE43" s="441">
        <v>41730</v>
      </c>
      <c r="FF43" s="441">
        <v>41760</v>
      </c>
      <c r="FG43" s="441">
        <v>41791</v>
      </c>
      <c r="FH43" s="441">
        <v>41821</v>
      </c>
      <c r="FI43" s="441">
        <v>41852</v>
      </c>
      <c r="FJ43" s="441">
        <v>41883</v>
      </c>
      <c r="FK43" s="441">
        <v>41913</v>
      </c>
      <c r="FL43" s="441">
        <v>41944</v>
      </c>
      <c r="FM43" s="441">
        <v>41974</v>
      </c>
      <c r="FN43" s="441">
        <v>42005</v>
      </c>
      <c r="FO43" s="441">
        <v>42036</v>
      </c>
      <c r="FP43" s="441">
        <v>42064</v>
      </c>
      <c r="FQ43" s="441">
        <v>42095</v>
      </c>
      <c r="FR43" s="441">
        <v>42125</v>
      </c>
      <c r="FS43" s="441">
        <v>42156</v>
      </c>
      <c r="FT43" s="441">
        <v>42186</v>
      </c>
      <c r="FU43" s="441">
        <v>42217</v>
      </c>
      <c r="FV43" s="441">
        <v>42248</v>
      </c>
      <c r="FW43" s="441">
        <v>42278</v>
      </c>
      <c r="FX43" s="441">
        <v>42309</v>
      </c>
      <c r="FY43" s="441">
        <v>42339</v>
      </c>
      <c r="FZ43" s="441">
        <v>42370</v>
      </c>
      <c r="GA43" s="441">
        <v>42401</v>
      </c>
      <c r="GB43" s="441">
        <v>42430</v>
      </c>
      <c r="GC43" s="441">
        <v>42461</v>
      </c>
      <c r="GD43" s="441">
        <v>42491</v>
      </c>
      <c r="GE43" s="441">
        <v>42522</v>
      </c>
      <c r="GF43" s="441">
        <v>42552</v>
      </c>
      <c r="GG43" s="441">
        <v>42583</v>
      </c>
      <c r="GH43" s="441">
        <v>42614</v>
      </c>
      <c r="GI43" s="441">
        <v>42644</v>
      </c>
      <c r="GJ43" s="441">
        <v>42675</v>
      </c>
      <c r="GK43" s="441">
        <v>42705</v>
      </c>
      <c r="GL43" s="441">
        <v>42736</v>
      </c>
      <c r="GM43" s="441">
        <v>42767</v>
      </c>
      <c r="GN43" s="441">
        <v>42795</v>
      </c>
      <c r="GO43" s="441">
        <v>42826</v>
      </c>
      <c r="GP43" s="441">
        <v>42856</v>
      </c>
      <c r="GQ43" s="441">
        <v>42887</v>
      </c>
      <c r="GR43" s="441">
        <v>42917</v>
      </c>
      <c r="GS43" s="441">
        <v>42948</v>
      </c>
      <c r="GT43" s="441">
        <v>42979</v>
      </c>
      <c r="GU43" s="441">
        <v>43009</v>
      </c>
      <c r="GV43" s="441">
        <v>43040</v>
      </c>
      <c r="GW43" s="441">
        <v>43070</v>
      </c>
      <c r="GX43" s="441">
        <v>43101</v>
      </c>
      <c r="GY43" s="441">
        <v>43132</v>
      </c>
      <c r="GZ43" s="441">
        <v>43160</v>
      </c>
      <c r="HA43" s="441">
        <v>43191</v>
      </c>
      <c r="HB43" s="441">
        <v>43221</v>
      </c>
      <c r="HC43" s="441">
        <v>43252</v>
      </c>
      <c r="HD43" s="441">
        <v>43282</v>
      </c>
      <c r="HE43" s="441">
        <v>43313</v>
      </c>
      <c r="HF43" s="441">
        <v>43344</v>
      </c>
      <c r="HG43" s="441">
        <v>43374</v>
      </c>
      <c r="HH43" s="441">
        <v>43405</v>
      </c>
      <c r="HI43" s="441">
        <v>43435</v>
      </c>
      <c r="HJ43" s="441">
        <v>43466</v>
      </c>
      <c r="HK43" s="441">
        <v>43497</v>
      </c>
      <c r="HL43" s="441">
        <v>43525</v>
      </c>
      <c r="HM43" s="441">
        <v>43556</v>
      </c>
      <c r="HN43" s="441">
        <v>43586</v>
      </c>
      <c r="HO43" s="441">
        <v>43617</v>
      </c>
      <c r="HP43" s="441">
        <v>43647</v>
      </c>
      <c r="HQ43" s="441">
        <v>43678</v>
      </c>
      <c r="HR43" s="441">
        <v>43709</v>
      </c>
      <c r="HS43" s="441">
        <v>43739</v>
      </c>
      <c r="HT43" s="441">
        <v>43770</v>
      </c>
      <c r="HU43" s="441">
        <v>43800</v>
      </c>
      <c r="HV43" s="441">
        <v>43831</v>
      </c>
      <c r="HW43" s="441">
        <v>43862</v>
      </c>
      <c r="HX43" s="441">
        <v>43891</v>
      </c>
      <c r="HY43" s="441">
        <v>43922</v>
      </c>
      <c r="HZ43" s="441">
        <v>43952</v>
      </c>
      <c r="IA43" s="441">
        <v>43983</v>
      </c>
      <c r="IB43" s="441">
        <v>44013</v>
      </c>
      <c r="IC43" s="441">
        <v>44044</v>
      </c>
      <c r="ID43" s="441">
        <v>44075</v>
      </c>
      <c r="IE43" s="441">
        <v>44105</v>
      </c>
      <c r="IF43" s="441">
        <v>44136</v>
      </c>
      <c r="IG43" s="441">
        <v>44166</v>
      </c>
      <c r="IH43" s="441">
        <v>44197</v>
      </c>
      <c r="II43" s="441">
        <v>44228</v>
      </c>
      <c r="IJ43" s="441">
        <v>44256</v>
      </c>
      <c r="IK43" s="441">
        <v>44287</v>
      </c>
      <c r="IL43" s="441">
        <v>44317</v>
      </c>
      <c r="IM43" s="441">
        <v>44348</v>
      </c>
      <c r="IN43" s="441">
        <v>44378</v>
      </c>
      <c r="IO43" s="441">
        <v>44409</v>
      </c>
      <c r="IP43" s="441">
        <v>44440</v>
      </c>
      <c r="IQ43" s="441">
        <v>44470</v>
      </c>
      <c r="IR43" s="441">
        <v>44501</v>
      </c>
      <c r="IS43" s="441">
        <v>44531</v>
      </c>
      <c r="IT43" s="441">
        <v>44562</v>
      </c>
      <c r="IU43" s="441">
        <v>44593</v>
      </c>
      <c r="IV43" s="441">
        <v>44621</v>
      </c>
      <c r="IW43" s="442">
        <v>44713</v>
      </c>
      <c r="IX43" s="442">
        <v>44805</v>
      </c>
      <c r="IY43" s="442">
        <v>44896</v>
      </c>
      <c r="IZ43" s="442">
        <v>44986</v>
      </c>
      <c r="JA43" s="442">
        <v>45078</v>
      </c>
      <c r="JB43" s="442">
        <v>45170</v>
      </c>
      <c r="JC43" s="442">
        <v>45261</v>
      </c>
      <c r="JD43" s="442">
        <v>45352</v>
      </c>
      <c r="JE43" s="443">
        <v>45444</v>
      </c>
    </row>
    <row r="44" spans="1:519" x14ac:dyDescent="0.3">
      <c r="A44" s="394" t="s">
        <v>85</v>
      </c>
      <c r="B44" s="392">
        <v>5733.942</v>
      </c>
      <c r="C44" s="392">
        <v>5712.2039999999997</v>
      </c>
      <c r="D44" s="392">
        <v>5808.0480000000007</v>
      </c>
      <c r="E44" s="392">
        <v>5807.4659999999994</v>
      </c>
      <c r="F44" s="392">
        <v>5963.0879999999997</v>
      </c>
      <c r="G44" s="392">
        <v>5959.8779999999997</v>
      </c>
      <c r="H44" s="392">
        <v>5962.2780000000002</v>
      </c>
      <c r="I44" s="392">
        <v>6158.91</v>
      </c>
      <c r="J44" s="392">
        <v>5878.47</v>
      </c>
      <c r="K44" s="392">
        <v>6062.25</v>
      </c>
      <c r="L44" s="392">
        <v>6001.1279999999997</v>
      </c>
      <c r="M44" s="392">
        <v>6971.634</v>
      </c>
      <c r="N44" s="392">
        <v>6519.6419999999998</v>
      </c>
      <c r="O44" s="392">
        <v>6032.9219999999996</v>
      </c>
      <c r="P44" s="392">
        <v>6217.3560000000007</v>
      </c>
      <c r="Q44" s="392">
        <v>6068.9160000000002</v>
      </c>
      <c r="R44" s="392">
        <v>6226.0439999999999</v>
      </c>
      <c r="S44" s="392">
        <v>6085.2000000000007</v>
      </c>
      <c r="T44" s="392">
        <v>6237.3059999999996</v>
      </c>
      <c r="U44" s="392">
        <v>6089.3040000000001</v>
      </c>
      <c r="V44" s="392">
        <v>6195.9060000000009</v>
      </c>
      <c r="W44" s="392">
        <v>6436.62</v>
      </c>
      <c r="X44" s="392">
        <v>6852.4440000000004</v>
      </c>
      <c r="Y44" s="392">
        <v>6150.4980000000005</v>
      </c>
      <c r="Z44" s="392">
        <v>6276.6900000000005</v>
      </c>
      <c r="AA44" s="392">
        <v>6090.5820000000003</v>
      </c>
      <c r="AB44" s="392">
        <v>6226.0860000000002</v>
      </c>
      <c r="AC44" s="392">
        <v>6176.2079999999996</v>
      </c>
      <c r="AD44" s="392">
        <v>6519.6779999999999</v>
      </c>
      <c r="AE44" s="392">
        <v>6339.924</v>
      </c>
      <c r="AF44" s="392">
        <v>6419.3040000000001</v>
      </c>
      <c r="AG44" s="392">
        <v>6612.6900000000005</v>
      </c>
      <c r="AH44" s="392">
        <v>6116.3639999999996</v>
      </c>
      <c r="AI44" s="392">
        <v>6559.0920000000006</v>
      </c>
      <c r="AJ44" s="392">
        <v>6471.7920000000004</v>
      </c>
      <c r="AK44" s="392">
        <v>6113.1900000000005</v>
      </c>
      <c r="AL44" s="392">
        <v>6165.4380000000001</v>
      </c>
      <c r="AM44" s="392">
        <v>6309.09</v>
      </c>
      <c r="AN44" s="392">
        <v>6671.9039999999995</v>
      </c>
      <c r="AO44" s="392">
        <v>6564.7800000000007</v>
      </c>
      <c r="AP44" s="392">
        <v>6667.4579999999996</v>
      </c>
      <c r="AQ44" s="392">
        <v>6535.92</v>
      </c>
      <c r="AR44" s="392">
        <v>6987.0599999999995</v>
      </c>
      <c r="AS44" s="392">
        <v>6946.116</v>
      </c>
      <c r="AT44" s="392">
        <v>7113.3360000000002</v>
      </c>
      <c r="AU44" s="392">
        <v>7042.1940000000004</v>
      </c>
      <c r="AV44" s="392">
        <v>7524.8220000000001</v>
      </c>
      <c r="AW44" s="392">
        <v>8330.0820000000003</v>
      </c>
      <c r="AX44" s="392">
        <v>7625.6280000000006</v>
      </c>
      <c r="AY44" s="392">
        <v>7664.4600000000009</v>
      </c>
      <c r="AZ44" s="392">
        <v>8069.982</v>
      </c>
      <c r="BA44" s="392">
        <v>8497.4279999999999</v>
      </c>
      <c r="BB44" s="392">
        <v>9141.2459999999992</v>
      </c>
      <c r="BC44" s="392">
        <v>8833.6080000000002</v>
      </c>
      <c r="BD44" s="392">
        <v>9001.2659999999996</v>
      </c>
      <c r="BE44" s="392">
        <v>9329.5259999999998</v>
      </c>
      <c r="BF44" s="392">
        <v>9253.9979999999996</v>
      </c>
      <c r="BG44" s="392">
        <v>8434.6020000000008</v>
      </c>
      <c r="BH44" s="392">
        <v>9632.61</v>
      </c>
      <c r="BI44" s="392">
        <v>9340.23</v>
      </c>
      <c r="BJ44" s="392">
        <v>8784.5339999999997</v>
      </c>
      <c r="BK44" s="392">
        <v>9271.1460000000006</v>
      </c>
      <c r="BL44" s="392">
        <v>9599.0640000000003</v>
      </c>
      <c r="BM44" s="392">
        <v>7786.5480000000007</v>
      </c>
      <c r="BN44" s="392">
        <v>10177.896000000001</v>
      </c>
      <c r="BO44" s="392">
        <v>9655.5059999999994</v>
      </c>
      <c r="BP44" s="392">
        <v>9365.4000000000015</v>
      </c>
      <c r="BQ44" s="392">
        <v>8254.0920000000006</v>
      </c>
      <c r="BR44" s="392">
        <v>7571.7240000000002</v>
      </c>
      <c r="BS44" s="392">
        <v>7868.2980000000007</v>
      </c>
      <c r="BT44" s="392">
        <v>8130.402</v>
      </c>
      <c r="BU44" s="392">
        <v>7821.24</v>
      </c>
      <c r="BV44" s="392">
        <v>7667.01</v>
      </c>
      <c r="BW44" s="392">
        <v>7939.4639999999999</v>
      </c>
      <c r="BX44" s="392">
        <v>8402.8080000000009</v>
      </c>
      <c r="BY44" s="392">
        <v>7463.9579999999996</v>
      </c>
      <c r="BZ44" s="392">
        <v>8362.7520000000004</v>
      </c>
      <c r="CA44" s="392">
        <v>8021.8919999999998</v>
      </c>
      <c r="CB44" s="392">
        <v>8216.6759999999995</v>
      </c>
      <c r="CC44" s="392">
        <v>8269.2240000000002</v>
      </c>
      <c r="CD44" s="392">
        <v>7924.235999999999</v>
      </c>
      <c r="CE44" s="392">
        <v>8074.4459999999999</v>
      </c>
      <c r="CF44" s="392">
        <v>8049.12</v>
      </c>
      <c r="CG44" s="392">
        <v>7765.3680000000004</v>
      </c>
      <c r="CH44" s="392">
        <v>7588.5059999999994</v>
      </c>
      <c r="CI44" s="392">
        <v>8163.27</v>
      </c>
      <c r="CJ44" s="392">
        <v>7570.1639999999998</v>
      </c>
      <c r="CK44" s="392">
        <v>7770.4679999999998</v>
      </c>
      <c r="CL44" s="392">
        <v>7794.5879999999997</v>
      </c>
      <c r="CM44" s="392">
        <v>7789.9319999999989</v>
      </c>
      <c r="CN44" s="392">
        <v>7989.09</v>
      </c>
      <c r="CO44" s="392">
        <v>7899.2280000000001</v>
      </c>
      <c r="CP44" s="392">
        <v>7863.2160000000003</v>
      </c>
      <c r="CQ44" s="392">
        <v>8164.2899999999991</v>
      </c>
      <c r="CR44" s="392">
        <v>8046.7619999999997</v>
      </c>
      <c r="CS44" s="392">
        <v>7764.2519999999995</v>
      </c>
      <c r="CT44" s="392">
        <v>7686.5879999999997</v>
      </c>
      <c r="CU44" s="392">
        <v>8258.2619999999988</v>
      </c>
      <c r="CV44" s="392">
        <v>8118.2999999999993</v>
      </c>
      <c r="CW44" s="392">
        <v>7822.5</v>
      </c>
      <c r="CX44" s="392">
        <v>7951.0740000000005</v>
      </c>
      <c r="CY44" s="392">
        <v>7873.1579999999994</v>
      </c>
      <c r="CZ44" s="392">
        <v>8142.8819999999996</v>
      </c>
      <c r="DA44" s="392">
        <v>7992.924</v>
      </c>
      <c r="DB44" s="392">
        <v>8325.8520000000008</v>
      </c>
      <c r="DC44" s="392">
        <v>8311.6319999999996</v>
      </c>
      <c r="DD44" s="392">
        <v>8771.5319999999992</v>
      </c>
      <c r="DE44" s="392">
        <v>8452.3979999999992</v>
      </c>
      <c r="DF44" s="392">
        <v>8387.8860000000004</v>
      </c>
      <c r="DG44" s="392">
        <v>8926.2659999999996</v>
      </c>
      <c r="DH44" s="392">
        <v>9400.5360000000001</v>
      </c>
      <c r="DI44" s="392">
        <v>8865.1620000000003</v>
      </c>
      <c r="DJ44" s="392">
        <v>9424.1939999999995</v>
      </c>
      <c r="DK44" s="392">
        <v>9472.014000000001</v>
      </c>
      <c r="DL44" s="392">
        <v>9977.64</v>
      </c>
      <c r="DM44" s="392">
        <v>10017.06</v>
      </c>
      <c r="DN44" s="392">
        <v>10157.034</v>
      </c>
      <c r="DO44" s="392">
        <v>10788.324000000001</v>
      </c>
      <c r="DP44" s="392">
        <v>11289.078</v>
      </c>
      <c r="DQ44" s="392">
        <v>10349.477999999999</v>
      </c>
      <c r="DR44" s="392">
        <v>10335.57</v>
      </c>
      <c r="DS44" s="392">
        <v>11762.856</v>
      </c>
      <c r="DT44" s="392">
        <v>12401.214</v>
      </c>
      <c r="DU44" s="392">
        <v>11060.039999999999</v>
      </c>
      <c r="DV44" s="392">
        <v>12692.376</v>
      </c>
      <c r="DW44" s="392">
        <v>12298.560000000001</v>
      </c>
      <c r="DX44" s="392">
        <v>12244.116</v>
      </c>
      <c r="DY44" s="392">
        <v>12270.09</v>
      </c>
      <c r="DZ44" s="392">
        <v>11406.792000000001</v>
      </c>
      <c r="EA44" s="392">
        <v>11607.438</v>
      </c>
      <c r="EB44" s="392">
        <v>11524.962</v>
      </c>
      <c r="EC44" s="392">
        <v>10321.254000000001</v>
      </c>
      <c r="ED44" s="392">
        <v>9362.652</v>
      </c>
      <c r="EE44" s="392">
        <v>9926.8019999999997</v>
      </c>
      <c r="EF44" s="392">
        <v>10026.102000000001</v>
      </c>
      <c r="EG44" s="392">
        <v>9574.1819999999989</v>
      </c>
      <c r="EH44" s="392">
        <v>8705.9880000000012</v>
      </c>
      <c r="EI44" s="392">
        <v>7482.5939999999991</v>
      </c>
      <c r="EJ44" s="392">
        <v>7573.5720000000001</v>
      </c>
      <c r="EK44" s="392">
        <v>7568.8680000000004</v>
      </c>
      <c r="EL44" s="392">
        <v>6930.8639999999996</v>
      </c>
      <c r="EM44" s="392">
        <v>7108.985999999999</v>
      </c>
      <c r="EN44" s="392">
        <v>7456.7579999999998</v>
      </c>
      <c r="EO44" s="392">
        <v>6839.9220000000005</v>
      </c>
      <c r="EP44" s="392">
        <v>6844.848</v>
      </c>
      <c r="EQ44" s="392">
        <v>7609.0920000000006</v>
      </c>
      <c r="ER44" s="392">
        <v>7173.0599999999995</v>
      </c>
      <c r="ES44" s="392">
        <v>7314.2999999999993</v>
      </c>
      <c r="ET44" s="392">
        <v>7473.9719999999998</v>
      </c>
      <c r="EU44" s="392">
        <v>7104.7139999999999</v>
      </c>
      <c r="EV44" s="392">
        <v>7434.8279999999995</v>
      </c>
      <c r="EW44" s="392">
        <v>7081.4459999999999</v>
      </c>
      <c r="EX44" s="392">
        <v>6839.2739999999994</v>
      </c>
      <c r="EY44" s="392">
        <v>7418.37</v>
      </c>
      <c r="EZ44" s="392">
        <v>7380.84</v>
      </c>
      <c r="FA44" s="392">
        <v>6865.2899999999991</v>
      </c>
      <c r="FB44" s="392">
        <v>6946.4160000000011</v>
      </c>
      <c r="FC44" s="392">
        <v>7569.75</v>
      </c>
      <c r="FD44" s="392">
        <v>7579.134</v>
      </c>
      <c r="FE44" s="392">
        <v>7011.18</v>
      </c>
      <c r="FF44" s="392">
        <v>7205.9279999999999</v>
      </c>
      <c r="FG44" s="392">
        <v>6989.5740000000005</v>
      </c>
      <c r="FH44" s="392">
        <v>7001.2800000000007</v>
      </c>
      <c r="FI44" s="392">
        <v>6820.14</v>
      </c>
      <c r="FJ44" s="392">
        <v>6876.0059999999994</v>
      </c>
      <c r="FK44" s="392">
        <v>7240.098</v>
      </c>
      <c r="FL44" s="392">
        <v>7276.6500000000005</v>
      </c>
      <c r="FM44" s="392">
        <v>6775.8240000000005</v>
      </c>
      <c r="FN44" s="392">
        <v>6688.518</v>
      </c>
      <c r="FO44" s="392">
        <v>7238.7240000000002</v>
      </c>
      <c r="FP44" s="392">
        <v>7195.59</v>
      </c>
      <c r="FQ44" s="392">
        <v>6822.924</v>
      </c>
      <c r="FR44" s="392">
        <v>7125.18</v>
      </c>
      <c r="FS44" s="392">
        <v>7137.2519999999995</v>
      </c>
      <c r="FT44" s="392">
        <v>7373.4540000000006</v>
      </c>
      <c r="FU44" s="392">
        <v>7046.1479999999992</v>
      </c>
      <c r="FV44" s="392">
        <v>6816.7739999999994</v>
      </c>
      <c r="FW44" s="392">
        <v>7030.3680000000004</v>
      </c>
      <c r="FX44" s="392">
        <v>7511.0159999999996</v>
      </c>
      <c r="FY44" s="392">
        <v>6468.7559999999994</v>
      </c>
      <c r="FZ44" s="392">
        <v>6270.4560000000001</v>
      </c>
      <c r="GA44" s="392">
        <v>6680.9160000000011</v>
      </c>
      <c r="GB44" s="392">
        <v>6102.4139999999998</v>
      </c>
      <c r="GC44" s="392">
        <v>5916.2520000000004</v>
      </c>
      <c r="GD44" s="392">
        <v>6232.6500000000005</v>
      </c>
      <c r="GE44" s="392">
        <v>5979.54</v>
      </c>
      <c r="GF44" s="392">
        <v>5969.7539999999999</v>
      </c>
      <c r="GG44" s="392">
        <v>6279.4980000000005</v>
      </c>
      <c r="GH44" s="392">
        <v>5654.79</v>
      </c>
      <c r="GI44" s="392">
        <v>6409.6620000000003</v>
      </c>
      <c r="GJ44" s="392">
        <v>6114.12</v>
      </c>
      <c r="GK44" s="392">
        <v>6219.768</v>
      </c>
      <c r="GL44" s="392">
        <v>5786.598</v>
      </c>
      <c r="GM44" s="392">
        <v>6233.3040000000001</v>
      </c>
      <c r="GN44" s="392">
        <v>6363.8819999999996</v>
      </c>
      <c r="GO44" s="392">
        <v>5689.9679999999998</v>
      </c>
      <c r="GP44" s="392">
        <v>6619.8420000000006</v>
      </c>
      <c r="GQ44" s="392">
        <v>6399.5280000000002</v>
      </c>
      <c r="GR44" s="392">
        <v>6159.6660000000011</v>
      </c>
      <c r="GS44" s="392">
        <v>6338.2619999999997</v>
      </c>
      <c r="GT44" s="392">
        <v>6348.7860000000001</v>
      </c>
      <c r="GU44" s="392">
        <v>6410.9220000000005</v>
      </c>
      <c r="GV44" s="392">
        <v>6819.7199999999993</v>
      </c>
      <c r="GW44" s="392">
        <v>6053.1059999999998</v>
      </c>
      <c r="GX44" s="392">
        <v>7065.576</v>
      </c>
      <c r="GY44" s="392">
        <v>6644.7240000000002</v>
      </c>
      <c r="GZ44" s="392">
        <v>6320.1539999999995</v>
      </c>
      <c r="HA44" s="392">
        <v>6287.9340000000002</v>
      </c>
      <c r="HB44" s="392">
        <v>6670.3560000000007</v>
      </c>
      <c r="HC44" s="392">
        <v>6663.2820000000002</v>
      </c>
      <c r="HD44" s="392">
        <v>6661.6560000000009</v>
      </c>
      <c r="HE44" s="392">
        <v>6270.7079999999996</v>
      </c>
      <c r="HF44" s="392">
        <v>5646.348</v>
      </c>
      <c r="HG44" s="392">
        <v>7061.82</v>
      </c>
      <c r="HH44" s="392">
        <v>6980.9699999999993</v>
      </c>
      <c r="HI44" s="392">
        <v>7216.6260000000002</v>
      </c>
      <c r="HJ44" s="392">
        <v>6697.0380000000005</v>
      </c>
      <c r="HK44" s="392">
        <v>7058.64</v>
      </c>
      <c r="HL44" s="392">
        <v>7351.4340000000002</v>
      </c>
      <c r="HM44" s="392">
        <v>6735.137999999999</v>
      </c>
      <c r="HN44" s="392">
        <v>7343.7719999999999</v>
      </c>
      <c r="HO44" s="392">
        <v>8061.0960000000005</v>
      </c>
      <c r="HP44" s="444">
        <v>7079.9340000000002</v>
      </c>
      <c r="HQ44" s="444">
        <v>6856.7040000000006</v>
      </c>
      <c r="HR44" s="444">
        <v>6872.1959999999999</v>
      </c>
      <c r="HS44" s="444">
        <v>6969.66</v>
      </c>
      <c r="HT44" s="444">
        <v>6711.0839999999989</v>
      </c>
      <c r="HU44" s="444">
        <v>6948.5999999999995</v>
      </c>
      <c r="HV44" s="392">
        <v>6583.235999999999</v>
      </c>
      <c r="HW44" s="392">
        <v>7029.485999999999</v>
      </c>
      <c r="HX44" s="392">
        <v>7089.6840000000002</v>
      </c>
      <c r="HY44" s="392">
        <v>5821.8539999999994</v>
      </c>
      <c r="HZ44" s="392">
        <v>6458.2199999999993</v>
      </c>
      <c r="IA44" s="392">
        <v>6754.9259999999995</v>
      </c>
      <c r="IB44" s="392">
        <v>6957.1500000000005</v>
      </c>
      <c r="IC44" s="392">
        <v>6838.3560000000007</v>
      </c>
      <c r="ID44" s="392">
        <v>7045.8240000000005</v>
      </c>
      <c r="IE44" s="392">
        <v>7204.2119999999995</v>
      </c>
      <c r="IF44" s="392">
        <v>6905.2139999999999</v>
      </c>
      <c r="IG44" s="392">
        <v>6269.3639999999996</v>
      </c>
      <c r="IH44" s="392">
        <v>6292.9920000000002</v>
      </c>
      <c r="II44" s="392">
        <v>6555.5459999999994</v>
      </c>
      <c r="IJ44" s="392">
        <v>7655.67</v>
      </c>
      <c r="IK44" s="392">
        <v>6583.32</v>
      </c>
      <c r="IL44" s="392">
        <v>7085.2860000000001</v>
      </c>
      <c r="IM44" s="392">
        <v>6684.4139999999998</v>
      </c>
      <c r="IN44" s="444">
        <v>6858.6180000000004</v>
      </c>
      <c r="IO44" s="444">
        <v>7142.6940000000004</v>
      </c>
      <c r="IP44" s="444">
        <v>6907.6439999999993</v>
      </c>
      <c r="IQ44" s="444">
        <v>6936.7800000000007</v>
      </c>
      <c r="IR44" s="444">
        <v>7154.07</v>
      </c>
      <c r="IS44" s="444">
        <v>6352.6500000000005</v>
      </c>
      <c r="IT44" s="444">
        <v>6274.902</v>
      </c>
      <c r="IU44" s="444">
        <v>6439.3860000000004</v>
      </c>
      <c r="IV44" s="444">
        <v>6889.0079999999998</v>
      </c>
      <c r="IW44" s="445">
        <v>6614.8440000000001</v>
      </c>
      <c r="IX44" s="445">
        <v>7052.4040000000005</v>
      </c>
      <c r="IY44" s="445">
        <v>7173.9539999999997</v>
      </c>
      <c r="IZ44" s="445">
        <v>7257.7120000000004</v>
      </c>
      <c r="JA44" s="445">
        <v>7323.7640000000001</v>
      </c>
      <c r="JB44" s="445">
        <v>7266.1120000000001</v>
      </c>
      <c r="JC44" s="445">
        <v>7094.2060000000001</v>
      </c>
      <c r="JD44" s="445">
        <v>6918.95</v>
      </c>
      <c r="JE44" s="446">
        <v>6806.2079999999996</v>
      </c>
    </row>
    <row r="45" spans="1:519" x14ac:dyDescent="0.3">
      <c r="A45" s="394" t="s">
        <v>179</v>
      </c>
      <c r="B45" s="395">
        <v>557.59199999999998</v>
      </c>
      <c r="C45" s="395">
        <v>573.55799999999999</v>
      </c>
      <c r="D45" s="395">
        <v>641.70000000000005</v>
      </c>
      <c r="E45" s="395">
        <v>534.21</v>
      </c>
      <c r="F45" s="395">
        <v>620.09999999999991</v>
      </c>
      <c r="G45" s="395">
        <v>693.93600000000004</v>
      </c>
      <c r="H45" s="395">
        <v>563.74199999999996</v>
      </c>
      <c r="I45" s="395">
        <v>590.07600000000002</v>
      </c>
      <c r="J45" s="395">
        <v>636.072</v>
      </c>
      <c r="K45" s="395">
        <v>553.36799999999994</v>
      </c>
      <c r="L45" s="395">
        <v>570.60599999999999</v>
      </c>
      <c r="M45" s="395">
        <v>587.54999999999995</v>
      </c>
      <c r="N45" s="395">
        <v>492.51599999999996</v>
      </c>
      <c r="O45" s="395">
        <v>543.75600000000009</v>
      </c>
      <c r="P45" s="395">
        <v>625.26599999999996</v>
      </c>
      <c r="Q45" s="395">
        <v>537.96</v>
      </c>
      <c r="R45" s="395">
        <v>568.62</v>
      </c>
      <c r="S45" s="395">
        <v>641.28600000000006</v>
      </c>
      <c r="T45" s="395">
        <v>563.42399999999998</v>
      </c>
      <c r="U45" s="395">
        <v>638.55600000000004</v>
      </c>
      <c r="V45" s="395">
        <v>544.16399999999999</v>
      </c>
      <c r="W45" s="395">
        <v>524.62199999999996</v>
      </c>
      <c r="X45" s="395">
        <v>595.31399999999996</v>
      </c>
      <c r="Y45" s="395">
        <v>478.43999999999994</v>
      </c>
      <c r="Z45" s="395">
        <v>478.75200000000001</v>
      </c>
      <c r="AA45" s="395">
        <v>510.27600000000007</v>
      </c>
      <c r="AB45" s="395">
        <v>595.34400000000005</v>
      </c>
      <c r="AC45" s="395">
        <v>490.60199999999998</v>
      </c>
      <c r="AD45" s="395">
        <v>586.23599999999999</v>
      </c>
      <c r="AE45" s="395">
        <v>562.61400000000003</v>
      </c>
      <c r="AF45" s="395">
        <v>559.68600000000004</v>
      </c>
      <c r="AG45" s="395">
        <v>576.61200000000008</v>
      </c>
      <c r="AH45" s="395">
        <v>544.27800000000002</v>
      </c>
      <c r="AI45" s="395">
        <v>562.66800000000001</v>
      </c>
      <c r="AJ45" s="395">
        <v>535.24800000000005</v>
      </c>
      <c r="AK45" s="395">
        <v>525.68999999999994</v>
      </c>
      <c r="AL45" s="395">
        <v>499.29</v>
      </c>
      <c r="AM45" s="395">
        <v>512.52</v>
      </c>
      <c r="AN45" s="395">
        <v>562.65599999999995</v>
      </c>
      <c r="AO45" s="395">
        <v>469.60199999999998</v>
      </c>
      <c r="AP45" s="395">
        <v>568.94399999999996</v>
      </c>
      <c r="AQ45" s="395">
        <v>549.28199999999993</v>
      </c>
      <c r="AR45" s="395">
        <v>538.476</v>
      </c>
      <c r="AS45" s="395">
        <v>586.77</v>
      </c>
      <c r="AT45" s="395">
        <v>588.56999999999994</v>
      </c>
      <c r="AU45" s="395">
        <v>536.43000000000006</v>
      </c>
      <c r="AV45" s="395">
        <v>566.58600000000001</v>
      </c>
      <c r="AW45" s="395">
        <v>553.70400000000006</v>
      </c>
      <c r="AX45" s="395">
        <v>533.48400000000004</v>
      </c>
      <c r="AY45" s="395">
        <v>563.06999999999994</v>
      </c>
      <c r="AZ45" s="395">
        <v>501.43799999999999</v>
      </c>
      <c r="BA45" s="395">
        <v>463.62599999999998</v>
      </c>
      <c r="BB45" s="395">
        <v>609.33000000000004</v>
      </c>
      <c r="BC45" s="395">
        <v>601.67399999999998</v>
      </c>
      <c r="BD45" s="395">
        <v>591.35400000000004</v>
      </c>
      <c r="BE45" s="395">
        <v>626.88599999999997</v>
      </c>
      <c r="BF45" s="395">
        <v>600.19799999999998</v>
      </c>
      <c r="BG45" s="395">
        <v>617.298</v>
      </c>
      <c r="BH45" s="395">
        <v>629.05200000000002</v>
      </c>
      <c r="BI45" s="395">
        <v>625.51800000000003</v>
      </c>
      <c r="BJ45" s="395">
        <v>637.596</v>
      </c>
      <c r="BK45" s="395">
        <v>647.03399999999999</v>
      </c>
      <c r="BL45" s="395">
        <v>692.01</v>
      </c>
      <c r="BM45" s="395">
        <v>615.95400000000006</v>
      </c>
      <c r="BN45" s="395">
        <v>718.85400000000004</v>
      </c>
      <c r="BO45" s="395">
        <v>646.46399999999994</v>
      </c>
      <c r="BP45" s="395">
        <v>672.97799999999995</v>
      </c>
      <c r="BQ45" s="395">
        <v>680.19600000000003</v>
      </c>
      <c r="BR45" s="395">
        <v>659.38799999999992</v>
      </c>
      <c r="BS45" s="395">
        <v>647.87400000000002</v>
      </c>
      <c r="BT45" s="395">
        <v>677.13</v>
      </c>
      <c r="BU45" s="395">
        <v>583.89</v>
      </c>
      <c r="BV45" s="395">
        <v>612.70799999999997</v>
      </c>
      <c r="BW45" s="395">
        <v>615.76800000000003</v>
      </c>
      <c r="BX45" s="395">
        <v>640.69799999999998</v>
      </c>
      <c r="BY45" s="395">
        <v>547.56000000000006</v>
      </c>
      <c r="BZ45" s="395">
        <v>631.524</v>
      </c>
      <c r="CA45" s="395">
        <v>613.58399999999995</v>
      </c>
      <c r="CB45" s="395">
        <v>632.52600000000007</v>
      </c>
      <c r="CC45" s="395">
        <v>610.34999999999991</v>
      </c>
      <c r="CD45" s="395">
        <v>619.69799999999998</v>
      </c>
      <c r="CE45" s="395">
        <v>601.71</v>
      </c>
      <c r="CF45" s="395">
        <v>646.21800000000007</v>
      </c>
      <c r="CG45" s="395">
        <v>588.67200000000003</v>
      </c>
      <c r="CH45" s="395">
        <v>602.93399999999997</v>
      </c>
      <c r="CI45" s="395">
        <v>657.46199999999999</v>
      </c>
      <c r="CJ45" s="395">
        <v>643.23</v>
      </c>
      <c r="CK45" s="395">
        <v>648.61799999999994</v>
      </c>
      <c r="CL45" s="395">
        <v>710.91600000000005</v>
      </c>
      <c r="CM45" s="395">
        <v>685.87800000000004</v>
      </c>
      <c r="CN45" s="395">
        <v>702.43200000000002</v>
      </c>
      <c r="CO45" s="395">
        <v>695.31600000000003</v>
      </c>
      <c r="CP45" s="395">
        <v>710.53199999999993</v>
      </c>
      <c r="CQ45" s="395">
        <v>763.07400000000007</v>
      </c>
      <c r="CR45" s="395">
        <v>737.13</v>
      </c>
      <c r="CS45" s="395">
        <v>698.94600000000003</v>
      </c>
      <c r="CT45" s="395">
        <v>710.87400000000002</v>
      </c>
      <c r="CU45" s="395">
        <v>708.31200000000001</v>
      </c>
      <c r="CV45" s="395">
        <v>754.12199999999996</v>
      </c>
      <c r="CW45" s="395">
        <v>659.65800000000002</v>
      </c>
      <c r="CX45" s="395">
        <v>735.46199999999999</v>
      </c>
      <c r="CY45" s="395">
        <v>734.22</v>
      </c>
      <c r="CZ45" s="395">
        <v>717.55200000000002</v>
      </c>
      <c r="DA45" s="395">
        <v>709.37400000000002</v>
      </c>
      <c r="DB45" s="395">
        <v>707.322</v>
      </c>
      <c r="DC45" s="395">
        <v>721.86599999999999</v>
      </c>
      <c r="DD45" s="395">
        <v>705.4559999999999</v>
      </c>
      <c r="DE45" s="395">
        <v>834.33600000000001</v>
      </c>
      <c r="DF45" s="395">
        <v>807.56999999999994</v>
      </c>
      <c r="DG45" s="395">
        <v>802.85400000000004</v>
      </c>
      <c r="DH45" s="395">
        <v>763.99800000000005</v>
      </c>
      <c r="DI45" s="395">
        <v>652.89599999999996</v>
      </c>
      <c r="DJ45" s="395">
        <v>725.11200000000008</v>
      </c>
      <c r="DK45" s="395">
        <v>720.45</v>
      </c>
      <c r="DL45" s="395">
        <v>682.524</v>
      </c>
      <c r="DM45" s="395">
        <v>705.96600000000001</v>
      </c>
      <c r="DN45" s="395">
        <v>676.92</v>
      </c>
      <c r="DO45" s="395">
        <v>667.70400000000006</v>
      </c>
      <c r="DP45" s="395">
        <v>692.82600000000002</v>
      </c>
      <c r="DQ45" s="395">
        <v>633.096</v>
      </c>
      <c r="DR45" s="395">
        <v>634.65000000000009</v>
      </c>
      <c r="DS45" s="395">
        <v>624.94799999999998</v>
      </c>
      <c r="DT45" s="395">
        <v>677.04</v>
      </c>
      <c r="DU45" s="395">
        <v>603.47399999999993</v>
      </c>
      <c r="DV45" s="395">
        <v>645.16800000000001</v>
      </c>
      <c r="DW45" s="395">
        <v>641.45400000000006</v>
      </c>
      <c r="DX45" s="395">
        <v>639.13799999999992</v>
      </c>
      <c r="DY45" s="395">
        <v>701.31000000000006</v>
      </c>
      <c r="DZ45" s="395">
        <v>723</v>
      </c>
      <c r="EA45" s="395">
        <v>721.31999999999994</v>
      </c>
      <c r="EB45" s="395">
        <v>714.72</v>
      </c>
      <c r="EC45" s="395">
        <v>695.43600000000004</v>
      </c>
      <c r="ED45" s="395">
        <v>699.78</v>
      </c>
      <c r="EE45" s="395">
        <v>726.62400000000002</v>
      </c>
      <c r="EF45" s="395">
        <v>781.24800000000005</v>
      </c>
      <c r="EG45" s="395">
        <v>689.16</v>
      </c>
      <c r="EH45" s="395">
        <v>771.47400000000005</v>
      </c>
      <c r="EI45" s="395">
        <v>737.49</v>
      </c>
      <c r="EJ45" s="395">
        <v>730.84800000000007</v>
      </c>
      <c r="EK45" s="395">
        <v>756.18600000000004</v>
      </c>
      <c r="EL45" s="395">
        <v>713.7</v>
      </c>
      <c r="EM45" s="395">
        <v>734.38200000000006</v>
      </c>
      <c r="EN45" s="395">
        <v>763.476</v>
      </c>
      <c r="EO45" s="395">
        <v>747.97199999999998</v>
      </c>
      <c r="EP45" s="395">
        <v>761.05200000000002</v>
      </c>
      <c r="EQ45" s="395">
        <v>711.03</v>
      </c>
      <c r="ER45" s="395">
        <v>720.96600000000001</v>
      </c>
      <c r="ES45" s="395">
        <v>667.53600000000006</v>
      </c>
      <c r="ET45" s="395">
        <v>735.94799999999998</v>
      </c>
      <c r="EU45" s="395">
        <v>704.59800000000007</v>
      </c>
      <c r="EV45" s="395">
        <v>715.96800000000007</v>
      </c>
      <c r="EW45" s="395">
        <v>718.00800000000004</v>
      </c>
      <c r="EX45" s="395">
        <v>667.00800000000004</v>
      </c>
      <c r="EY45" s="395">
        <v>682.27800000000002</v>
      </c>
      <c r="EZ45" s="395">
        <v>704.80200000000002</v>
      </c>
      <c r="FA45" s="395">
        <v>652.43399999999997</v>
      </c>
      <c r="FB45" s="395">
        <v>672.82799999999997</v>
      </c>
      <c r="FC45" s="395">
        <v>717.88799999999992</v>
      </c>
      <c r="FD45" s="395">
        <v>778.22400000000005</v>
      </c>
      <c r="FE45" s="395">
        <v>693.93600000000004</v>
      </c>
      <c r="FF45" s="395">
        <v>810.87599999999998</v>
      </c>
      <c r="FG45" s="395">
        <v>761.47799999999995</v>
      </c>
      <c r="FH45" s="395">
        <v>764.68799999999999</v>
      </c>
      <c r="FI45" s="395">
        <v>804.89400000000001</v>
      </c>
      <c r="FJ45" s="395">
        <v>806.86200000000008</v>
      </c>
      <c r="FK45" s="395">
        <v>848.98200000000008</v>
      </c>
      <c r="FL45" s="395">
        <v>795.72</v>
      </c>
      <c r="FM45" s="395">
        <v>787.02599999999995</v>
      </c>
      <c r="FN45" s="395">
        <v>735.36599999999999</v>
      </c>
      <c r="FO45" s="395">
        <v>760.34999999999991</v>
      </c>
      <c r="FP45" s="395">
        <v>826.08600000000001</v>
      </c>
      <c r="FQ45" s="395">
        <v>742.44600000000003</v>
      </c>
      <c r="FR45" s="395">
        <v>903.96600000000001</v>
      </c>
      <c r="FS45" s="395">
        <v>893.76600000000008</v>
      </c>
      <c r="FT45" s="395">
        <v>888.66599999999994</v>
      </c>
      <c r="FU45" s="395">
        <v>863.5440000000001</v>
      </c>
      <c r="FV45" s="395">
        <v>867.69600000000014</v>
      </c>
      <c r="FW45" s="395">
        <v>892.80000000000007</v>
      </c>
      <c r="FX45" s="395">
        <v>900.73799999999994</v>
      </c>
      <c r="FY45" s="395">
        <v>882.71399999999994</v>
      </c>
      <c r="FZ45" s="395">
        <v>821.07600000000002</v>
      </c>
      <c r="GA45" s="395">
        <v>827.26799999999992</v>
      </c>
      <c r="GB45" s="395">
        <v>821.48399999999992</v>
      </c>
      <c r="GC45" s="395">
        <v>810.41399999999999</v>
      </c>
      <c r="GD45" s="395">
        <v>821.58</v>
      </c>
      <c r="GE45" s="395">
        <v>787.43399999999997</v>
      </c>
      <c r="GF45" s="395">
        <v>822.18000000000006</v>
      </c>
      <c r="GG45" s="395">
        <v>795.49800000000005</v>
      </c>
      <c r="GH45" s="395">
        <v>746.976</v>
      </c>
      <c r="GI45" s="395">
        <v>802.93200000000002</v>
      </c>
      <c r="GJ45" s="395">
        <v>794.85599999999999</v>
      </c>
      <c r="GK45" s="395">
        <v>749.87400000000002</v>
      </c>
      <c r="GL45" s="395">
        <v>759.00600000000009</v>
      </c>
      <c r="GM45" s="395">
        <v>753.89400000000001</v>
      </c>
      <c r="GN45" s="395">
        <v>790.58999999999992</v>
      </c>
      <c r="GO45" s="395">
        <v>657.28199999999993</v>
      </c>
      <c r="GP45" s="395">
        <v>783.81600000000003</v>
      </c>
      <c r="GQ45" s="395">
        <v>770.298</v>
      </c>
      <c r="GR45" s="395">
        <v>760.58399999999995</v>
      </c>
      <c r="GS45" s="395">
        <v>766.71</v>
      </c>
      <c r="GT45" s="395">
        <v>711.39599999999996</v>
      </c>
      <c r="GU45" s="395">
        <v>762.58199999999999</v>
      </c>
      <c r="GV45" s="395">
        <v>761.64599999999996</v>
      </c>
      <c r="GW45" s="395">
        <v>733.29599999999994</v>
      </c>
      <c r="GX45" s="395">
        <v>736.99800000000005</v>
      </c>
      <c r="GY45" s="395">
        <v>736.34999999999991</v>
      </c>
      <c r="GZ45" s="395">
        <v>811.30200000000013</v>
      </c>
      <c r="HA45" s="395">
        <v>729.21600000000001</v>
      </c>
      <c r="HB45" s="395">
        <v>785.29200000000003</v>
      </c>
      <c r="HC45" s="395">
        <v>748.404</v>
      </c>
      <c r="HD45" s="395">
        <v>728.10599999999999</v>
      </c>
      <c r="HE45" s="395">
        <v>735.42</v>
      </c>
      <c r="HF45" s="395">
        <v>696.06600000000003</v>
      </c>
      <c r="HG45" s="395">
        <v>781.06799999999998</v>
      </c>
      <c r="HH45" s="395">
        <v>746.35799999999995</v>
      </c>
      <c r="HI45" s="395">
        <v>641.952</v>
      </c>
      <c r="HJ45" s="395">
        <v>706.05600000000004</v>
      </c>
      <c r="HK45" s="395">
        <v>694.0440000000001</v>
      </c>
      <c r="HL45" s="395">
        <v>760.19399999999996</v>
      </c>
      <c r="HM45" s="395">
        <v>684.22199999999998</v>
      </c>
      <c r="HN45" s="395">
        <v>725.14800000000002</v>
      </c>
      <c r="HO45" s="395">
        <v>637.51800000000003</v>
      </c>
      <c r="HP45" s="395">
        <v>673.69200000000001</v>
      </c>
      <c r="HQ45" s="395">
        <v>742.77</v>
      </c>
      <c r="HR45" s="395">
        <v>670.26599999999996</v>
      </c>
      <c r="HS45" s="395">
        <v>744.01199999999994</v>
      </c>
      <c r="HT45" s="395">
        <v>761.31000000000006</v>
      </c>
      <c r="HU45" s="395">
        <v>686.16600000000005</v>
      </c>
      <c r="HV45" s="395">
        <v>656.97</v>
      </c>
      <c r="HW45" s="395">
        <v>657.71399999999994</v>
      </c>
      <c r="HX45" s="395">
        <v>698.50800000000004</v>
      </c>
      <c r="HY45" s="395">
        <v>634.45799999999997</v>
      </c>
      <c r="HZ45" s="395">
        <v>711.73199999999997</v>
      </c>
      <c r="IA45" s="395">
        <v>764.53800000000001</v>
      </c>
      <c r="IB45" s="395">
        <v>680.64599999999996</v>
      </c>
      <c r="IC45" s="395">
        <v>660.18600000000004</v>
      </c>
      <c r="ID45" s="395">
        <v>645.43200000000002</v>
      </c>
      <c r="IE45" s="395">
        <v>668.71800000000007</v>
      </c>
      <c r="IF45" s="395">
        <v>695.89200000000005</v>
      </c>
      <c r="IG45" s="395">
        <v>501.91800000000001</v>
      </c>
      <c r="IH45" s="395">
        <v>669.048</v>
      </c>
      <c r="II45" s="395">
        <v>643.43999999999994</v>
      </c>
      <c r="IJ45" s="395">
        <v>708.82799999999997</v>
      </c>
      <c r="IK45" s="395">
        <v>613.15199999999993</v>
      </c>
      <c r="IL45" s="395">
        <v>637.69799999999998</v>
      </c>
      <c r="IM45" s="395">
        <v>582.42599999999993</v>
      </c>
      <c r="IN45" s="15">
        <v>570.096</v>
      </c>
      <c r="IO45" s="15">
        <v>595.51199999999994</v>
      </c>
      <c r="IP45" s="15">
        <v>628.56000000000006</v>
      </c>
      <c r="IQ45" s="15">
        <v>630.44399999999996</v>
      </c>
      <c r="IR45" s="15">
        <v>647.274</v>
      </c>
      <c r="IS45" s="15">
        <v>621.57600000000002</v>
      </c>
      <c r="IT45" s="15">
        <v>626.76599999999996</v>
      </c>
      <c r="IU45" s="15">
        <v>715.06799999999998</v>
      </c>
      <c r="IV45" s="15">
        <v>718.38</v>
      </c>
      <c r="IW45" s="15">
        <v>782.79600000000005</v>
      </c>
      <c r="IX45" s="15">
        <v>800.61199999999997</v>
      </c>
      <c r="IY45" s="15">
        <v>790.68799999999999</v>
      </c>
      <c r="IZ45" s="15">
        <v>845.29600000000005</v>
      </c>
      <c r="JA45" s="15">
        <v>858.44</v>
      </c>
      <c r="JB45" s="15">
        <v>861.45</v>
      </c>
      <c r="JC45" s="15">
        <v>827.46799999999996</v>
      </c>
      <c r="JD45" s="15">
        <v>862.41200000000003</v>
      </c>
      <c r="JE45" s="447">
        <v>891.63800000000003</v>
      </c>
    </row>
    <row r="46" spans="1:519" x14ac:dyDescent="0.3">
      <c r="A46" s="394" t="s">
        <v>180</v>
      </c>
      <c r="B46" s="392">
        <v>598.84800000000007</v>
      </c>
      <c r="C46" s="392">
        <v>654.96600000000001</v>
      </c>
      <c r="D46" s="392">
        <v>683.50800000000004</v>
      </c>
      <c r="E46" s="392">
        <v>586.91399999999999</v>
      </c>
      <c r="F46" s="392">
        <v>704.95799999999997</v>
      </c>
      <c r="G46" s="392">
        <v>713.38200000000006</v>
      </c>
      <c r="H46" s="392">
        <v>666.32400000000007</v>
      </c>
      <c r="I46" s="392">
        <v>723.54</v>
      </c>
      <c r="J46" s="392">
        <v>730.2</v>
      </c>
      <c r="K46" s="392">
        <v>684.00600000000009</v>
      </c>
      <c r="L46" s="392">
        <v>776.44200000000001</v>
      </c>
      <c r="M46" s="392">
        <v>591.82799999999997</v>
      </c>
      <c r="N46" s="392">
        <v>717.07799999999997</v>
      </c>
      <c r="O46" s="392">
        <v>698.20799999999997</v>
      </c>
      <c r="P46" s="392">
        <v>666.88799999999992</v>
      </c>
      <c r="Q46" s="392">
        <v>299.82599999999996</v>
      </c>
      <c r="R46" s="392">
        <v>319.404</v>
      </c>
      <c r="S46" s="392">
        <v>278.154</v>
      </c>
      <c r="T46" s="392">
        <v>280.14600000000002</v>
      </c>
      <c r="U46" s="392">
        <v>266.11199999999997</v>
      </c>
      <c r="V46" s="392">
        <v>279.01800000000003</v>
      </c>
      <c r="W46" s="392">
        <v>329.23199999999997</v>
      </c>
      <c r="X46" s="392">
        <v>342.92400000000004</v>
      </c>
      <c r="Y46" s="392">
        <v>291.678</v>
      </c>
      <c r="Z46" s="392">
        <v>263.82</v>
      </c>
      <c r="AA46" s="392">
        <v>290.45999999999998</v>
      </c>
      <c r="AB46" s="392">
        <v>333.46800000000002</v>
      </c>
      <c r="AC46" s="392">
        <v>287.87400000000002</v>
      </c>
      <c r="AD46" s="392">
        <v>293.916</v>
      </c>
      <c r="AE46" s="392">
        <v>277.77600000000001</v>
      </c>
      <c r="AF46" s="392">
        <v>301.488</v>
      </c>
      <c r="AG46" s="392">
        <v>295.86599999999999</v>
      </c>
      <c r="AH46" s="392">
        <v>306.61199999999997</v>
      </c>
      <c r="AI46" s="392">
        <v>296.14799999999997</v>
      </c>
      <c r="AJ46" s="392">
        <v>290.74200000000002</v>
      </c>
      <c r="AK46" s="392">
        <v>266.35200000000003</v>
      </c>
      <c r="AL46" s="392">
        <v>255.20999999999998</v>
      </c>
      <c r="AM46" s="392">
        <v>253.85399999999998</v>
      </c>
      <c r="AN46" s="392">
        <v>284.46600000000001</v>
      </c>
      <c r="AO46" s="392">
        <v>292.00799999999998</v>
      </c>
      <c r="AP46" s="392">
        <v>305.47799999999995</v>
      </c>
      <c r="AQ46" s="392">
        <v>323.64</v>
      </c>
      <c r="AR46" s="392">
        <v>342.12</v>
      </c>
      <c r="AS46" s="392">
        <v>321.12599999999998</v>
      </c>
      <c r="AT46" s="392">
        <v>353.72399999999999</v>
      </c>
      <c r="AU46" s="392">
        <v>339.45000000000005</v>
      </c>
      <c r="AV46" s="392">
        <v>370.57799999999997</v>
      </c>
      <c r="AW46" s="392">
        <v>337.99200000000002</v>
      </c>
      <c r="AX46" s="392">
        <v>311.72399999999999</v>
      </c>
      <c r="AY46" s="392">
        <v>353.24400000000003</v>
      </c>
      <c r="AZ46" s="392">
        <v>348.52800000000002</v>
      </c>
      <c r="BA46" s="392">
        <v>319.00200000000001</v>
      </c>
      <c r="BB46" s="392">
        <v>365.34000000000003</v>
      </c>
      <c r="BC46" s="392">
        <v>374.322</v>
      </c>
      <c r="BD46" s="392">
        <v>361.15199999999999</v>
      </c>
      <c r="BE46" s="392">
        <v>391.93799999999999</v>
      </c>
      <c r="BF46" s="392">
        <v>395.17199999999997</v>
      </c>
      <c r="BG46" s="392">
        <v>416.00400000000002</v>
      </c>
      <c r="BH46" s="392">
        <v>436.48800000000006</v>
      </c>
      <c r="BI46" s="392">
        <v>338.00400000000002</v>
      </c>
      <c r="BJ46" s="392">
        <v>356.31</v>
      </c>
      <c r="BK46" s="392">
        <v>444.01199999999994</v>
      </c>
      <c r="BL46" s="392">
        <v>441.50400000000002</v>
      </c>
      <c r="BM46" s="392">
        <v>368.56799999999998</v>
      </c>
      <c r="BN46" s="392">
        <v>458.92199999999997</v>
      </c>
      <c r="BO46" s="392">
        <v>471.73199999999997</v>
      </c>
      <c r="BP46" s="392">
        <v>489.27</v>
      </c>
      <c r="BQ46" s="392">
        <v>504.68999999999994</v>
      </c>
      <c r="BR46" s="392">
        <v>495.858</v>
      </c>
      <c r="BS46" s="392">
        <v>544.88400000000001</v>
      </c>
      <c r="BT46" s="392">
        <v>575.226</v>
      </c>
      <c r="BU46" s="392">
        <v>474.08399999999995</v>
      </c>
      <c r="BV46" s="392">
        <v>481.61400000000003</v>
      </c>
      <c r="BW46" s="392">
        <v>495.95400000000006</v>
      </c>
      <c r="BX46" s="392">
        <v>525.88799999999992</v>
      </c>
      <c r="BY46" s="392">
        <v>520.9559999999999</v>
      </c>
      <c r="BZ46" s="392">
        <v>620.35199999999998</v>
      </c>
      <c r="CA46" s="392">
        <v>608.76</v>
      </c>
      <c r="CB46" s="392">
        <v>613.34400000000005</v>
      </c>
      <c r="CC46" s="392">
        <v>597.678</v>
      </c>
      <c r="CD46" s="392">
        <v>602.64599999999996</v>
      </c>
      <c r="CE46" s="392">
        <v>645.74399999999991</v>
      </c>
      <c r="CF46" s="392">
        <v>669.19799999999998</v>
      </c>
      <c r="CG46" s="392">
        <v>537.59400000000005</v>
      </c>
      <c r="CH46" s="392">
        <v>561.64800000000002</v>
      </c>
      <c r="CI46" s="392">
        <v>586.27200000000005</v>
      </c>
      <c r="CJ46" s="392">
        <v>612.43200000000002</v>
      </c>
      <c r="CK46" s="392">
        <v>670.34999999999991</v>
      </c>
      <c r="CL46" s="392">
        <v>679.11</v>
      </c>
      <c r="CM46" s="392">
        <v>668.84400000000005</v>
      </c>
      <c r="CN46" s="392">
        <v>633.12</v>
      </c>
      <c r="CO46" s="392">
        <v>612.024</v>
      </c>
      <c r="CP46" s="392">
        <v>640.06799999999998</v>
      </c>
      <c r="CQ46" s="392">
        <v>678.50400000000002</v>
      </c>
      <c r="CR46" s="392">
        <v>637.51800000000003</v>
      </c>
      <c r="CS46" s="392">
        <v>587.59199999999998</v>
      </c>
      <c r="CT46" s="392">
        <v>606.87</v>
      </c>
      <c r="CU46" s="392">
        <v>600.43200000000002</v>
      </c>
      <c r="CV46" s="392">
        <v>635.91600000000005</v>
      </c>
      <c r="CW46" s="392">
        <v>602.20799999999997</v>
      </c>
      <c r="CX46" s="392">
        <v>649.86599999999999</v>
      </c>
      <c r="CY46" s="392">
        <v>608.82600000000002</v>
      </c>
      <c r="CZ46" s="392">
        <v>581.14200000000005</v>
      </c>
      <c r="DA46" s="392">
        <v>539.62199999999996</v>
      </c>
      <c r="DB46" s="392">
        <v>530.88</v>
      </c>
      <c r="DC46" s="392">
        <v>544.572</v>
      </c>
      <c r="DD46" s="392">
        <v>564.33000000000004</v>
      </c>
      <c r="DE46" s="392">
        <v>498.846</v>
      </c>
      <c r="DF46" s="392">
        <v>585.73800000000006</v>
      </c>
      <c r="DG46" s="392">
        <v>638.22</v>
      </c>
      <c r="DH46" s="392">
        <v>635.46</v>
      </c>
      <c r="DI46" s="392">
        <v>580.26599999999996</v>
      </c>
      <c r="DJ46" s="392">
        <v>648.62400000000002</v>
      </c>
      <c r="DK46" s="392">
        <v>668.67</v>
      </c>
      <c r="DL46" s="392">
        <v>683.74800000000005</v>
      </c>
      <c r="DM46" s="392">
        <v>709.92</v>
      </c>
      <c r="DN46" s="392">
        <v>654.59400000000005</v>
      </c>
      <c r="DO46" s="392">
        <v>638.24399999999991</v>
      </c>
      <c r="DP46" s="392">
        <v>675.43799999999999</v>
      </c>
      <c r="DQ46" s="392">
        <v>554.44200000000001</v>
      </c>
      <c r="DR46" s="392">
        <v>578.64599999999996</v>
      </c>
      <c r="DS46" s="392">
        <v>630.66</v>
      </c>
      <c r="DT46" s="392">
        <v>665.00400000000002</v>
      </c>
      <c r="DU46" s="392">
        <v>625.96199999999999</v>
      </c>
      <c r="DV46" s="392">
        <v>667.30200000000002</v>
      </c>
      <c r="DW46" s="392">
        <v>720.60599999999999</v>
      </c>
      <c r="DX46" s="392">
        <v>752.57400000000007</v>
      </c>
      <c r="DY46" s="392">
        <v>832.26600000000008</v>
      </c>
      <c r="DZ46" s="392">
        <v>838.83</v>
      </c>
      <c r="EA46" s="392">
        <v>874.63799999999992</v>
      </c>
      <c r="EB46" s="392">
        <v>917.80799999999999</v>
      </c>
      <c r="EC46" s="392">
        <v>780.58800000000008</v>
      </c>
      <c r="ED46" s="392">
        <v>803.51400000000012</v>
      </c>
      <c r="EE46" s="392">
        <v>878.12400000000002</v>
      </c>
      <c r="EF46" s="392">
        <v>930.80399999999986</v>
      </c>
      <c r="EG46" s="392">
        <v>898.32600000000002</v>
      </c>
      <c r="EH46" s="392">
        <v>949.548</v>
      </c>
      <c r="EI46" s="392">
        <v>878.14800000000002</v>
      </c>
      <c r="EJ46" s="392">
        <v>871.9380000000001</v>
      </c>
      <c r="EK46" s="392">
        <v>829.84799999999996</v>
      </c>
      <c r="EL46" s="392">
        <v>896.09999999999991</v>
      </c>
      <c r="EM46" s="392">
        <v>940.548</v>
      </c>
      <c r="EN46" s="392">
        <v>952.19999999999993</v>
      </c>
      <c r="EO46" s="392">
        <v>744.56399999999996</v>
      </c>
      <c r="EP46" s="392">
        <v>838.94999999999993</v>
      </c>
      <c r="EQ46" s="392">
        <v>844.94999999999993</v>
      </c>
      <c r="ER46" s="392">
        <v>951.87599999999998</v>
      </c>
      <c r="ES46" s="392">
        <v>945.85199999999998</v>
      </c>
      <c r="ET46" s="392">
        <v>952.33200000000011</v>
      </c>
      <c r="EU46" s="392">
        <v>865.11</v>
      </c>
      <c r="EV46" s="392">
        <v>923.22600000000011</v>
      </c>
      <c r="EW46" s="392">
        <v>919.65600000000006</v>
      </c>
      <c r="EX46" s="392">
        <v>926.60400000000004</v>
      </c>
      <c r="EY46" s="392">
        <v>949.12799999999993</v>
      </c>
      <c r="EZ46" s="392">
        <v>968.56799999999998</v>
      </c>
      <c r="FA46" s="392">
        <v>815.83200000000011</v>
      </c>
      <c r="FB46" s="392">
        <v>853.81799999999998</v>
      </c>
      <c r="FC46" s="392">
        <v>839.86800000000005</v>
      </c>
      <c r="FD46" s="392">
        <v>924.28800000000001</v>
      </c>
      <c r="FE46" s="392">
        <v>879.61800000000005</v>
      </c>
      <c r="FF46" s="392">
        <v>922.74599999999998</v>
      </c>
      <c r="FG46" s="392">
        <v>924.99</v>
      </c>
      <c r="FH46" s="392">
        <v>1054.9740000000002</v>
      </c>
      <c r="FI46" s="392">
        <v>992.62799999999993</v>
      </c>
      <c r="FJ46" s="392">
        <v>990.22800000000007</v>
      </c>
      <c r="FK46" s="392">
        <v>990.22199999999998</v>
      </c>
      <c r="FL46" s="392">
        <v>1020.402</v>
      </c>
      <c r="FM46" s="392">
        <v>820.29</v>
      </c>
      <c r="FN46" s="392">
        <v>762.92399999999998</v>
      </c>
      <c r="FO46" s="392">
        <v>777.64200000000005</v>
      </c>
      <c r="FP46" s="392">
        <v>820.72199999999998</v>
      </c>
      <c r="FQ46" s="392">
        <v>749.05200000000002</v>
      </c>
      <c r="FR46" s="392">
        <v>742.90199999999993</v>
      </c>
      <c r="FS46" s="392">
        <v>743.44799999999998</v>
      </c>
      <c r="FT46" s="392">
        <v>748.7940000000001</v>
      </c>
      <c r="FU46" s="392">
        <v>708.27</v>
      </c>
      <c r="FV46" s="392">
        <v>689.07600000000002</v>
      </c>
      <c r="FW46" s="392">
        <v>710.17200000000003</v>
      </c>
      <c r="FX46" s="392">
        <v>789.25800000000004</v>
      </c>
      <c r="FY46" s="392">
        <v>633.85199999999998</v>
      </c>
      <c r="FZ46" s="392">
        <v>605.72399999999993</v>
      </c>
      <c r="GA46" s="392">
        <v>697.30799999999999</v>
      </c>
      <c r="GB46" s="392">
        <v>732.87599999999998</v>
      </c>
      <c r="GC46" s="392">
        <v>714.63599999999997</v>
      </c>
      <c r="GD46" s="392">
        <v>752.04599999999994</v>
      </c>
      <c r="GE46" s="392">
        <v>703.5</v>
      </c>
      <c r="GF46" s="392">
        <v>726.654</v>
      </c>
      <c r="GG46" s="392">
        <v>745.596</v>
      </c>
      <c r="GH46" s="392">
        <v>723.16800000000001</v>
      </c>
      <c r="GI46" s="392">
        <v>792.66000000000008</v>
      </c>
      <c r="GJ46" s="392">
        <v>867.39599999999996</v>
      </c>
      <c r="GK46" s="392">
        <v>736.53</v>
      </c>
      <c r="GL46" s="392">
        <v>740.84400000000005</v>
      </c>
      <c r="GM46" s="392">
        <v>765.678</v>
      </c>
      <c r="GN46" s="392">
        <v>812.84999999999991</v>
      </c>
      <c r="GO46" s="392">
        <v>673.476</v>
      </c>
      <c r="GP46" s="392">
        <v>827.50199999999995</v>
      </c>
      <c r="GQ46" s="392">
        <v>790.80000000000007</v>
      </c>
      <c r="GR46" s="392">
        <v>722.13599999999997</v>
      </c>
      <c r="GS46" s="392">
        <v>744.31200000000001</v>
      </c>
      <c r="GT46" s="392">
        <v>695.31000000000006</v>
      </c>
      <c r="GU46" s="392">
        <v>906.87599999999998</v>
      </c>
      <c r="GV46" s="392">
        <v>946.2059999999999</v>
      </c>
      <c r="GW46" s="392">
        <v>690.38400000000001</v>
      </c>
      <c r="GX46" s="392">
        <v>656.65199999999993</v>
      </c>
      <c r="GY46" s="392">
        <v>740.43000000000006</v>
      </c>
      <c r="GZ46" s="392">
        <v>734.05799999999999</v>
      </c>
      <c r="HA46" s="392">
        <v>704.37</v>
      </c>
      <c r="HB46" s="392">
        <v>853.58999999999992</v>
      </c>
      <c r="HC46" s="392">
        <v>807.654</v>
      </c>
      <c r="HD46" s="392">
        <v>813.55200000000013</v>
      </c>
      <c r="HE46" s="392">
        <v>812.26200000000006</v>
      </c>
      <c r="HF46" s="392">
        <v>826.70399999999995</v>
      </c>
      <c r="HG46" s="392">
        <v>867.22800000000007</v>
      </c>
      <c r="HH46" s="392">
        <v>853.89599999999996</v>
      </c>
      <c r="HI46" s="392">
        <v>623.18399999999997</v>
      </c>
      <c r="HJ46" s="392">
        <v>731.81399999999996</v>
      </c>
      <c r="HK46" s="392">
        <v>741.26400000000001</v>
      </c>
      <c r="HL46" s="392">
        <v>735.43200000000002</v>
      </c>
      <c r="HM46" s="392">
        <v>692.73</v>
      </c>
      <c r="HN46" s="392">
        <v>781.09199999999987</v>
      </c>
      <c r="HO46" s="392">
        <v>715.86</v>
      </c>
      <c r="HP46" s="444">
        <v>817.1880000000001</v>
      </c>
      <c r="HQ46" s="444">
        <v>776.28</v>
      </c>
      <c r="HR46" s="444">
        <v>735.88200000000006</v>
      </c>
      <c r="HS46" s="444">
        <v>786.49199999999996</v>
      </c>
      <c r="HT46" s="444">
        <v>760.35599999999999</v>
      </c>
      <c r="HU46" s="444">
        <v>582.072</v>
      </c>
      <c r="HV46" s="392">
        <v>633.75</v>
      </c>
      <c r="HW46" s="392">
        <v>736.54200000000003</v>
      </c>
      <c r="HX46" s="392">
        <v>763.96199999999999</v>
      </c>
      <c r="HY46" s="392">
        <v>646.26</v>
      </c>
      <c r="HZ46" s="392">
        <v>615.36599999999999</v>
      </c>
      <c r="IA46" s="392">
        <v>623.81399999999996</v>
      </c>
      <c r="IB46" s="392">
        <v>656.19600000000003</v>
      </c>
      <c r="IC46" s="392">
        <v>660.37800000000004</v>
      </c>
      <c r="ID46" s="392">
        <v>637.548</v>
      </c>
      <c r="IE46" s="392">
        <v>673.03199999999993</v>
      </c>
      <c r="IF46" s="392">
        <v>660.97799999999995</v>
      </c>
      <c r="IG46" s="392">
        <v>590.01599999999996</v>
      </c>
      <c r="IH46" s="392">
        <v>577.93200000000002</v>
      </c>
      <c r="II46" s="392">
        <v>673.21800000000007</v>
      </c>
      <c r="IJ46" s="392">
        <v>759.80399999999997</v>
      </c>
      <c r="IK46" s="392">
        <v>725.60400000000004</v>
      </c>
      <c r="IL46" s="392">
        <v>778.62000000000012</v>
      </c>
      <c r="IM46" s="392">
        <v>767.274</v>
      </c>
      <c r="IN46" s="444">
        <v>792.42</v>
      </c>
      <c r="IO46" s="444">
        <v>827.48399999999992</v>
      </c>
      <c r="IP46" s="444">
        <v>821.07600000000002</v>
      </c>
      <c r="IQ46" s="444">
        <v>867.64200000000005</v>
      </c>
      <c r="IR46" s="444">
        <v>870.77399999999989</v>
      </c>
      <c r="IS46" s="444">
        <v>691.84199999999998</v>
      </c>
      <c r="IT46" s="444">
        <v>678.71399999999994</v>
      </c>
      <c r="IU46" s="444">
        <v>787.78199999999993</v>
      </c>
      <c r="IV46" s="444">
        <v>846.19799999999987</v>
      </c>
      <c r="IW46" s="445">
        <v>721.49</v>
      </c>
      <c r="IX46" s="445">
        <v>736.702</v>
      </c>
      <c r="IY46" s="445">
        <v>726.02</v>
      </c>
      <c r="IZ46" s="445">
        <v>818.94600000000003</v>
      </c>
      <c r="JA46" s="445">
        <v>1258.31</v>
      </c>
      <c r="JB46" s="445">
        <v>941.41</v>
      </c>
      <c r="JC46" s="445">
        <v>830.32</v>
      </c>
      <c r="JD46" s="445">
        <v>826.60799999999995</v>
      </c>
      <c r="JE46" s="446">
        <v>933.10199999999998</v>
      </c>
    </row>
    <row r="47" spans="1:519" ht="14.25" customHeight="1" x14ac:dyDescent="0.3">
      <c r="A47" s="394" t="s">
        <v>86</v>
      </c>
      <c r="B47" s="395">
        <v>1295.3220000000001</v>
      </c>
      <c r="C47" s="395">
        <v>1289.9580000000001</v>
      </c>
      <c r="D47" s="395">
        <v>1361.0880000000002</v>
      </c>
      <c r="E47" s="395">
        <v>1356.1619999999998</v>
      </c>
      <c r="F47" s="395">
        <v>1379.31</v>
      </c>
      <c r="G47" s="395">
        <v>1339.644</v>
      </c>
      <c r="H47" s="395">
        <v>1411.4879999999998</v>
      </c>
      <c r="I47" s="395">
        <v>1396.896</v>
      </c>
      <c r="J47" s="395">
        <v>1317.432</v>
      </c>
      <c r="K47" s="395">
        <v>1317.2759999999998</v>
      </c>
      <c r="L47" s="395">
        <v>1289.598</v>
      </c>
      <c r="M47" s="395">
        <v>1186.8779999999999</v>
      </c>
      <c r="N47" s="395">
        <v>1235.682</v>
      </c>
      <c r="O47" s="395">
        <v>983.05200000000013</v>
      </c>
      <c r="P47" s="395">
        <v>1386.174</v>
      </c>
      <c r="Q47" s="395">
        <v>1234.422</v>
      </c>
      <c r="R47" s="395">
        <v>1367.0880000000002</v>
      </c>
      <c r="S47" s="395">
        <v>1308.6480000000001</v>
      </c>
      <c r="T47" s="395">
        <v>1260.9059999999999</v>
      </c>
      <c r="U47" s="395">
        <v>1248.0120000000002</v>
      </c>
      <c r="V47" s="395">
        <v>1336.41</v>
      </c>
      <c r="W47" s="395">
        <v>1477.434</v>
      </c>
      <c r="X47" s="395">
        <v>1457.3519999999999</v>
      </c>
      <c r="Y47" s="395">
        <v>1471.104</v>
      </c>
      <c r="Z47" s="395">
        <v>1447.71</v>
      </c>
      <c r="AA47" s="395">
        <v>1385.0340000000001</v>
      </c>
      <c r="AB47" s="395">
        <v>1487.8020000000001</v>
      </c>
      <c r="AC47" s="395">
        <v>1529.9460000000001</v>
      </c>
      <c r="AD47" s="395">
        <v>1496.328</v>
      </c>
      <c r="AE47" s="395">
        <v>1529.9639999999999</v>
      </c>
      <c r="AF47" s="395">
        <v>1442.394</v>
      </c>
      <c r="AG47" s="395">
        <v>1438.098</v>
      </c>
      <c r="AH47" s="395">
        <v>1435.2539999999999</v>
      </c>
      <c r="AI47" s="395">
        <v>1391.8920000000001</v>
      </c>
      <c r="AJ47" s="395">
        <v>1058.43</v>
      </c>
      <c r="AK47" s="395">
        <v>871.62599999999998</v>
      </c>
      <c r="AL47" s="395">
        <v>941.39400000000001</v>
      </c>
      <c r="AM47" s="395">
        <v>943.7940000000001</v>
      </c>
      <c r="AN47" s="395">
        <v>965.952</v>
      </c>
      <c r="AO47" s="395">
        <v>954.28800000000001</v>
      </c>
      <c r="AP47" s="395">
        <v>1054.614</v>
      </c>
      <c r="AQ47" s="395">
        <v>1090.29</v>
      </c>
      <c r="AR47" s="395">
        <v>1128.93</v>
      </c>
      <c r="AS47" s="395">
        <v>1355.1420000000001</v>
      </c>
      <c r="AT47" s="395">
        <v>1321.566</v>
      </c>
      <c r="AU47" s="395">
        <v>1409.364</v>
      </c>
      <c r="AV47" s="395">
        <v>1470.576</v>
      </c>
      <c r="AW47" s="395">
        <v>1290.1200000000001</v>
      </c>
      <c r="AX47" s="395">
        <v>1331.1659999999999</v>
      </c>
      <c r="AY47" s="395">
        <v>1396.752</v>
      </c>
      <c r="AZ47" s="395">
        <v>1463.8139999999999</v>
      </c>
      <c r="BA47" s="395">
        <v>1400.2139999999999</v>
      </c>
      <c r="BB47" s="395">
        <v>1500.348</v>
      </c>
      <c r="BC47" s="395">
        <v>1435.5060000000001</v>
      </c>
      <c r="BD47" s="395">
        <v>1643.5439999999999</v>
      </c>
      <c r="BE47" s="395">
        <v>1696.1999999999998</v>
      </c>
      <c r="BF47" s="395">
        <v>1793.9279999999999</v>
      </c>
      <c r="BG47" s="395">
        <v>2137.3920000000003</v>
      </c>
      <c r="BH47" s="395">
        <v>1977.828</v>
      </c>
      <c r="BI47" s="395">
        <v>1782.12</v>
      </c>
      <c r="BJ47" s="395">
        <v>1920.4560000000001</v>
      </c>
      <c r="BK47" s="395">
        <v>1815.9780000000001</v>
      </c>
      <c r="BL47" s="395">
        <v>2031.732</v>
      </c>
      <c r="BM47" s="395">
        <v>1958.9520000000002</v>
      </c>
      <c r="BN47" s="395">
        <v>2055.3180000000002</v>
      </c>
      <c r="BO47" s="395">
        <v>2011.7759999999998</v>
      </c>
      <c r="BP47" s="395">
        <v>2012.0700000000002</v>
      </c>
      <c r="BQ47" s="395">
        <v>2129.8739999999998</v>
      </c>
      <c r="BR47" s="395">
        <v>2189.8620000000001</v>
      </c>
      <c r="BS47" s="395">
        <v>2293.92</v>
      </c>
      <c r="BT47" s="395">
        <v>2437.404</v>
      </c>
      <c r="BU47" s="395">
        <v>2265.9539999999997</v>
      </c>
      <c r="BV47" s="395">
        <v>2430.846</v>
      </c>
      <c r="BW47" s="395">
        <v>2515.1459999999997</v>
      </c>
      <c r="BX47" s="395">
        <v>2688.42</v>
      </c>
      <c r="BY47" s="395">
        <v>2445.4260000000004</v>
      </c>
      <c r="BZ47" s="395">
        <v>2475.0720000000001</v>
      </c>
      <c r="CA47" s="395">
        <v>2256.4319999999998</v>
      </c>
      <c r="CB47" s="395">
        <v>2303.904</v>
      </c>
      <c r="CC47" s="395">
        <v>2473.5540000000001</v>
      </c>
      <c r="CD47" s="395">
        <v>2386.6799999999998</v>
      </c>
      <c r="CE47" s="395">
        <v>2592.768</v>
      </c>
      <c r="CF47" s="395">
        <v>2621.7599999999998</v>
      </c>
      <c r="CG47" s="395">
        <v>2376.8160000000003</v>
      </c>
      <c r="CH47" s="395">
        <v>2426.8980000000001</v>
      </c>
      <c r="CI47" s="395">
        <v>2541.288</v>
      </c>
      <c r="CJ47" s="395">
        <v>2627.5859999999998</v>
      </c>
      <c r="CK47" s="395">
        <v>2535.7259999999997</v>
      </c>
      <c r="CL47" s="395">
        <v>2638.0140000000001</v>
      </c>
      <c r="CM47" s="395">
        <v>2609.6220000000003</v>
      </c>
      <c r="CN47" s="395">
        <v>2725.5360000000001</v>
      </c>
      <c r="CO47" s="395">
        <v>2409.1799999999998</v>
      </c>
      <c r="CP47" s="395">
        <v>2313.1079999999997</v>
      </c>
      <c r="CQ47" s="395">
        <v>2397.636</v>
      </c>
      <c r="CR47" s="395">
        <v>2173.5</v>
      </c>
      <c r="CS47" s="395">
        <v>2069.52</v>
      </c>
      <c r="CT47" s="395">
        <v>1613.79</v>
      </c>
      <c r="CU47" s="395">
        <v>1341.5880000000002</v>
      </c>
      <c r="CV47" s="395">
        <v>1442.58</v>
      </c>
      <c r="CW47" s="395">
        <v>1375.23</v>
      </c>
      <c r="CX47" s="395">
        <v>1481.16</v>
      </c>
      <c r="CY47" s="395">
        <v>1487.028</v>
      </c>
      <c r="CZ47" s="395">
        <v>1474.0919999999999</v>
      </c>
      <c r="DA47" s="395">
        <v>1443.5340000000001</v>
      </c>
      <c r="DB47" s="395">
        <v>1463.19</v>
      </c>
      <c r="DC47" s="395">
        <v>1531.2719999999999</v>
      </c>
      <c r="DD47" s="395">
        <v>1493.4479999999999</v>
      </c>
      <c r="DE47" s="395">
        <v>1565.8679999999999</v>
      </c>
      <c r="DF47" s="395">
        <v>1474.8000000000002</v>
      </c>
      <c r="DG47" s="395">
        <v>1662.3540000000003</v>
      </c>
      <c r="DH47" s="395">
        <v>1892.982</v>
      </c>
      <c r="DI47" s="395">
        <v>1945.9499999999998</v>
      </c>
      <c r="DJ47" s="395">
        <v>2037.636</v>
      </c>
      <c r="DK47" s="395">
        <v>2000.3340000000001</v>
      </c>
      <c r="DL47" s="395">
        <v>2045.328</v>
      </c>
      <c r="DM47" s="395">
        <v>1994.1000000000001</v>
      </c>
      <c r="DN47" s="395">
        <v>1930.7159999999999</v>
      </c>
      <c r="DO47" s="395">
        <v>1938.2159999999999</v>
      </c>
      <c r="DP47" s="395">
        <v>1891.3019999999999</v>
      </c>
      <c r="DQ47" s="395">
        <v>1982.856</v>
      </c>
      <c r="DR47" s="395">
        <v>1853.748</v>
      </c>
      <c r="DS47" s="395">
        <v>1742.1480000000001</v>
      </c>
      <c r="DT47" s="395">
        <v>2410.56</v>
      </c>
      <c r="DU47" s="395">
        <v>2061.4920000000002</v>
      </c>
      <c r="DV47" s="395">
        <v>2297.8679999999999</v>
      </c>
      <c r="DW47" s="395">
        <v>2348.2740000000003</v>
      </c>
      <c r="DX47" s="395">
        <v>2352.6959999999999</v>
      </c>
      <c r="DY47" s="395">
        <v>2441.3160000000003</v>
      </c>
      <c r="DZ47" s="395">
        <v>2388.7799999999997</v>
      </c>
      <c r="EA47" s="395">
        <v>2495.076</v>
      </c>
      <c r="EB47" s="395">
        <v>2674.7640000000001</v>
      </c>
      <c r="EC47" s="395">
        <v>2549.5680000000002</v>
      </c>
      <c r="ED47" s="395">
        <v>2702.19</v>
      </c>
      <c r="EE47" s="395">
        <v>2692.6379999999999</v>
      </c>
      <c r="EF47" s="395">
        <v>2751.5519999999997</v>
      </c>
      <c r="EG47" s="395">
        <v>2758.89</v>
      </c>
      <c r="EH47" s="395">
        <v>2866.596</v>
      </c>
      <c r="EI47" s="395">
        <v>2765.826</v>
      </c>
      <c r="EJ47" s="395">
        <v>2917.0680000000002</v>
      </c>
      <c r="EK47" s="395">
        <v>3001.998</v>
      </c>
      <c r="EL47" s="395">
        <v>2837.982</v>
      </c>
      <c r="EM47" s="395">
        <v>2729.8440000000001</v>
      </c>
      <c r="EN47" s="395">
        <v>2439.8999999999996</v>
      </c>
      <c r="EO47" s="395">
        <v>2310.7440000000001</v>
      </c>
      <c r="EP47" s="395">
        <v>2295.21</v>
      </c>
      <c r="EQ47" s="395">
        <v>2341.098</v>
      </c>
      <c r="ER47" s="395">
        <v>2592.672</v>
      </c>
      <c r="ES47" s="395">
        <v>2435.556</v>
      </c>
      <c r="ET47" s="395">
        <v>2586.21</v>
      </c>
      <c r="EU47" s="395">
        <v>2484.0839999999998</v>
      </c>
      <c r="EV47" s="395">
        <v>2608.5479999999998</v>
      </c>
      <c r="EW47" s="395">
        <v>2557.0140000000001</v>
      </c>
      <c r="EX47" s="395">
        <v>2374.038</v>
      </c>
      <c r="EY47" s="395">
        <v>2555.3879999999999</v>
      </c>
      <c r="EZ47" s="395">
        <v>2368.1880000000001</v>
      </c>
      <c r="FA47" s="395">
        <v>2407.0619999999999</v>
      </c>
      <c r="FB47" s="395">
        <v>2408.5500000000002</v>
      </c>
      <c r="FC47" s="395">
        <v>2393.19</v>
      </c>
      <c r="FD47" s="395">
        <v>2528.7240000000002</v>
      </c>
      <c r="FE47" s="395">
        <v>2025.9119999999998</v>
      </c>
      <c r="FF47" s="395">
        <v>2167.0920000000001</v>
      </c>
      <c r="FG47" s="395">
        <v>2007.2339999999999</v>
      </c>
      <c r="FH47" s="395">
        <v>2089.3200000000002</v>
      </c>
      <c r="FI47" s="395">
        <v>2391.5700000000002</v>
      </c>
      <c r="FJ47" s="395">
        <v>2335.3319999999999</v>
      </c>
      <c r="FK47" s="395">
        <v>2410.56</v>
      </c>
      <c r="FL47" s="395">
        <v>2407.0500000000002</v>
      </c>
      <c r="FM47" s="395">
        <v>2314.8119999999999</v>
      </c>
      <c r="FN47" s="395">
        <v>2316.0360000000001</v>
      </c>
      <c r="FO47" s="395">
        <v>2049.7259999999997</v>
      </c>
      <c r="FP47" s="395">
        <v>2178.6000000000004</v>
      </c>
      <c r="FQ47" s="395">
        <v>2096.268</v>
      </c>
      <c r="FR47" s="395">
        <v>2197.578</v>
      </c>
      <c r="FS47" s="395">
        <v>2024.712</v>
      </c>
      <c r="FT47" s="395">
        <v>2222.52</v>
      </c>
      <c r="FU47" s="395">
        <v>2109.81</v>
      </c>
      <c r="FV47" s="395">
        <v>1969.7219999999998</v>
      </c>
      <c r="FW47" s="395">
        <v>2061.1019999999999</v>
      </c>
      <c r="FX47" s="395">
        <v>1946.508</v>
      </c>
      <c r="FY47" s="395">
        <v>1952.5500000000002</v>
      </c>
      <c r="FZ47" s="395">
        <v>1977.3000000000002</v>
      </c>
      <c r="GA47" s="395">
        <v>1887.0419999999999</v>
      </c>
      <c r="GB47" s="395">
        <v>1924.1579999999999</v>
      </c>
      <c r="GC47" s="395">
        <v>1749.84</v>
      </c>
      <c r="GD47" s="395">
        <v>1878.9719999999998</v>
      </c>
      <c r="GE47" s="395">
        <v>1837.5120000000002</v>
      </c>
      <c r="GF47" s="395">
        <v>1866.5280000000002</v>
      </c>
      <c r="GG47" s="395">
        <v>1906.1760000000002</v>
      </c>
      <c r="GH47" s="395">
        <v>1757.9339999999997</v>
      </c>
      <c r="GI47" s="395">
        <v>1894.3980000000001</v>
      </c>
      <c r="GJ47" s="395">
        <v>1840.1999999999998</v>
      </c>
      <c r="GK47" s="395">
        <v>1886.16</v>
      </c>
      <c r="GL47" s="395">
        <v>1938.4740000000002</v>
      </c>
      <c r="GM47" s="395">
        <v>1787.8500000000001</v>
      </c>
      <c r="GN47" s="395">
        <v>2040.21</v>
      </c>
      <c r="GO47" s="395">
        <v>1897.92</v>
      </c>
      <c r="GP47" s="395">
        <v>1903.4339999999997</v>
      </c>
      <c r="GQ47" s="395">
        <v>1957.2179999999998</v>
      </c>
      <c r="GR47" s="395">
        <v>2062.4580000000001</v>
      </c>
      <c r="GS47" s="395">
        <v>2126.904</v>
      </c>
      <c r="GT47" s="395">
        <v>2137.1760000000004</v>
      </c>
      <c r="GU47" s="395">
        <v>2295.87</v>
      </c>
      <c r="GV47" s="395">
        <v>2254.8959999999997</v>
      </c>
      <c r="GW47" s="395">
        <v>2077.0680000000002</v>
      </c>
      <c r="GX47" s="395">
        <v>2143.0619999999999</v>
      </c>
      <c r="GY47" s="395">
        <v>2051.3820000000001</v>
      </c>
      <c r="GZ47" s="395">
        <v>2229.0299999999997</v>
      </c>
      <c r="HA47" s="395">
        <v>2066.16</v>
      </c>
      <c r="HB47" s="395">
        <v>2178.096</v>
      </c>
      <c r="HC47" s="395">
        <v>2145.9180000000001</v>
      </c>
      <c r="HD47" s="395">
        <v>2265.4079999999999</v>
      </c>
      <c r="HE47" s="395">
        <v>2277.8940000000002</v>
      </c>
      <c r="HF47" s="395">
        <v>2177.4839999999999</v>
      </c>
      <c r="HG47" s="395">
        <v>2253.36</v>
      </c>
      <c r="HH47" s="395">
        <v>2040.6420000000003</v>
      </c>
      <c r="HI47" s="395">
        <v>2178.5639999999999</v>
      </c>
      <c r="HJ47" s="395">
        <v>2285.52</v>
      </c>
      <c r="HK47" s="395">
        <v>2236.23</v>
      </c>
      <c r="HL47" s="395">
        <v>2357.3999999999996</v>
      </c>
      <c r="HM47" s="395">
        <v>2364.84</v>
      </c>
      <c r="HN47" s="395">
        <v>2361.8339999999998</v>
      </c>
      <c r="HO47" s="395">
        <v>2270.8500000000004</v>
      </c>
      <c r="HP47" s="395">
        <v>2398.7280000000001</v>
      </c>
      <c r="HQ47" s="395">
        <v>2396.1839999999997</v>
      </c>
      <c r="HR47" s="395">
        <v>1967.6279999999999</v>
      </c>
      <c r="HS47" s="395">
        <v>2429.9339999999997</v>
      </c>
      <c r="HT47" s="395">
        <v>2385.7740000000003</v>
      </c>
      <c r="HU47" s="395">
        <v>1961.3820000000001</v>
      </c>
      <c r="HV47" s="395">
        <v>1774.818</v>
      </c>
      <c r="HW47" s="395">
        <v>1851.672</v>
      </c>
      <c r="HX47" s="395">
        <v>1952.568</v>
      </c>
      <c r="HY47" s="395">
        <v>1880.6399999999999</v>
      </c>
      <c r="HZ47" s="395">
        <v>2028.4740000000002</v>
      </c>
      <c r="IA47" s="395">
        <v>1874.154</v>
      </c>
      <c r="IB47" s="395">
        <v>1921.47</v>
      </c>
      <c r="IC47" s="395">
        <v>1982.8319999999999</v>
      </c>
      <c r="ID47" s="395">
        <v>1859.7360000000001</v>
      </c>
      <c r="IE47" s="395">
        <v>1885.9499999999998</v>
      </c>
      <c r="IF47" s="395">
        <v>1934.0219999999999</v>
      </c>
      <c r="IG47" s="395">
        <v>1817.3579999999997</v>
      </c>
      <c r="IH47" s="395">
        <v>1900.29</v>
      </c>
      <c r="II47" s="395">
        <v>1771.2780000000002</v>
      </c>
      <c r="IJ47" s="395">
        <v>1984.308</v>
      </c>
      <c r="IK47" s="395">
        <v>1807.3980000000001</v>
      </c>
      <c r="IL47" s="395">
        <v>2037.2460000000001</v>
      </c>
      <c r="IM47" s="395">
        <v>1822.7939999999999</v>
      </c>
      <c r="IN47" s="15">
        <v>1887.492</v>
      </c>
      <c r="IO47" s="15">
        <v>1970.634</v>
      </c>
      <c r="IP47" s="15">
        <v>2080.884</v>
      </c>
      <c r="IQ47" s="15">
        <v>2181.9360000000001</v>
      </c>
      <c r="IR47" s="15">
        <v>2233.1220000000003</v>
      </c>
      <c r="IS47" s="15">
        <v>2130.7979999999998</v>
      </c>
      <c r="IT47" s="15">
        <v>1982.5320000000002</v>
      </c>
      <c r="IU47" s="15">
        <v>1883.0519999999999</v>
      </c>
      <c r="IV47" s="15">
        <v>2038.5720000000001</v>
      </c>
      <c r="IW47" s="15">
        <v>2160.1439999999998</v>
      </c>
      <c r="IX47" s="15">
        <v>2343.9140000000002</v>
      </c>
      <c r="IY47" s="15">
        <v>2008.5319999999999</v>
      </c>
      <c r="IZ47" s="15">
        <v>1884.7639999999999</v>
      </c>
      <c r="JA47" s="15">
        <v>1738.856</v>
      </c>
      <c r="JB47" s="15">
        <v>1566.502</v>
      </c>
      <c r="JC47" s="15">
        <v>1434.742</v>
      </c>
      <c r="JD47" s="15">
        <v>1460.836</v>
      </c>
      <c r="JE47" s="447">
        <v>1535.68</v>
      </c>
    </row>
    <row r="48" spans="1:519" x14ac:dyDescent="0.3">
      <c r="A48" s="394" t="s">
        <v>181</v>
      </c>
      <c r="B48" s="392">
        <v>943.68600000000004</v>
      </c>
      <c r="C48" s="392">
        <v>872.27399999999989</v>
      </c>
      <c r="D48" s="392">
        <v>971.17200000000003</v>
      </c>
      <c r="E48" s="392">
        <v>943.75800000000004</v>
      </c>
      <c r="F48" s="392">
        <v>1042.8419999999999</v>
      </c>
      <c r="G48" s="392">
        <v>1097.712</v>
      </c>
      <c r="H48" s="392">
        <v>1016.796</v>
      </c>
      <c r="I48" s="392">
        <v>1065.9000000000001</v>
      </c>
      <c r="J48" s="392">
        <v>979.02</v>
      </c>
      <c r="K48" s="392">
        <v>1136.694</v>
      </c>
      <c r="L48" s="392">
        <v>1315.44</v>
      </c>
      <c r="M48" s="392">
        <v>1353.7439999999999</v>
      </c>
      <c r="N48" s="392">
        <v>1441.056</v>
      </c>
      <c r="O48" s="392">
        <v>1164.1200000000001</v>
      </c>
      <c r="P48" s="392">
        <v>1154.2919999999999</v>
      </c>
      <c r="Q48" s="392">
        <v>1052.4059999999999</v>
      </c>
      <c r="R48" s="392">
        <v>1239.7560000000001</v>
      </c>
      <c r="S48" s="392">
        <v>1164.9780000000001</v>
      </c>
      <c r="T48" s="392">
        <v>1347.5340000000001</v>
      </c>
      <c r="U48" s="392">
        <v>1293.5940000000001</v>
      </c>
      <c r="V48" s="392">
        <v>1100.0880000000002</v>
      </c>
      <c r="W48" s="392">
        <v>1291.7819999999999</v>
      </c>
      <c r="X48" s="392">
        <v>1290.2280000000001</v>
      </c>
      <c r="Y48" s="392">
        <v>1192.806</v>
      </c>
      <c r="Z48" s="392">
        <v>1120.9259999999999</v>
      </c>
      <c r="AA48" s="392">
        <v>1070.8679999999999</v>
      </c>
      <c r="AB48" s="392">
        <v>1176.1860000000001</v>
      </c>
      <c r="AC48" s="392">
        <v>1110.444</v>
      </c>
      <c r="AD48" s="392">
        <v>1367.7240000000002</v>
      </c>
      <c r="AE48" s="392">
        <v>1161.702</v>
      </c>
      <c r="AF48" s="392">
        <v>1161.21</v>
      </c>
      <c r="AG48" s="392">
        <v>1103.538</v>
      </c>
      <c r="AH48" s="392">
        <v>1129.914</v>
      </c>
      <c r="AI48" s="392">
        <v>1196.0999999999999</v>
      </c>
      <c r="AJ48" s="392">
        <v>1352.85</v>
      </c>
      <c r="AK48" s="392">
        <v>1249.7159999999999</v>
      </c>
      <c r="AL48" s="392">
        <v>1233.6659999999999</v>
      </c>
      <c r="AM48" s="392">
        <v>1182.444</v>
      </c>
      <c r="AN48" s="392">
        <v>1252.008</v>
      </c>
      <c r="AO48" s="392">
        <v>1485.498</v>
      </c>
      <c r="AP48" s="392">
        <v>1589.442</v>
      </c>
      <c r="AQ48" s="392">
        <v>1481.3820000000001</v>
      </c>
      <c r="AR48" s="392">
        <v>1562.8679999999999</v>
      </c>
      <c r="AS48" s="392">
        <v>1874.4960000000001</v>
      </c>
      <c r="AT48" s="392">
        <v>1670.1959999999999</v>
      </c>
      <c r="AU48" s="392">
        <v>1385.3039999999999</v>
      </c>
      <c r="AV48" s="392">
        <v>1500.9059999999999</v>
      </c>
      <c r="AW48" s="392">
        <v>1325.664</v>
      </c>
      <c r="AX48" s="392">
        <v>1717.818</v>
      </c>
      <c r="AY48" s="392">
        <v>1676.5139999999999</v>
      </c>
      <c r="AZ48" s="392">
        <v>1804.9140000000002</v>
      </c>
      <c r="BA48" s="392">
        <v>1849.0139999999999</v>
      </c>
      <c r="BB48" s="392">
        <v>1930.3500000000001</v>
      </c>
      <c r="BC48" s="392">
        <v>1915.53</v>
      </c>
      <c r="BD48" s="392">
        <v>1929.3000000000002</v>
      </c>
      <c r="BE48" s="392">
        <v>1737.4860000000001</v>
      </c>
      <c r="BF48" s="392">
        <v>1831.482</v>
      </c>
      <c r="BG48" s="392">
        <v>1798.596</v>
      </c>
      <c r="BH48" s="392">
        <v>1855.6619999999998</v>
      </c>
      <c r="BI48" s="392">
        <v>1706.0160000000001</v>
      </c>
      <c r="BJ48" s="392">
        <v>1642.41</v>
      </c>
      <c r="BK48" s="392">
        <v>1623.576</v>
      </c>
      <c r="BL48" s="392">
        <v>1847.28</v>
      </c>
      <c r="BM48" s="392">
        <v>1707.1559999999999</v>
      </c>
      <c r="BN48" s="392">
        <v>1816.17</v>
      </c>
      <c r="BO48" s="392">
        <v>1818.204</v>
      </c>
      <c r="BP48" s="392">
        <v>2077.134</v>
      </c>
      <c r="BQ48" s="392">
        <v>2052.9480000000003</v>
      </c>
      <c r="BR48" s="392">
        <v>2105.8440000000001</v>
      </c>
      <c r="BS48" s="392">
        <v>2337.7080000000001</v>
      </c>
      <c r="BT48" s="392">
        <v>2233.2660000000001</v>
      </c>
      <c r="BU48" s="392">
        <v>2031.2339999999999</v>
      </c>
      <c r="BV48" s="392">
        <v>2162.364</v>
      </c>
      <c r="BW48" s="392">
        <v>2075.8739999999998</v>
      </c>
      <c r="BX48" s="392">
        <v>2134.248</v>
      </c>
      <c r="BY48" s="392">
        <v>2170.7579999999998</v>
      </c>
      <c r="BZ48" s="392">
        <v>2219.7179999999998</v>
      </c>
      <c r="CA48" s="392">
        <v>2252.712</v>
      </c>
      <c r="CB48" s="392">
        <v>2399.6220000000003</v>
      </c>
      <c r="CC48" s="392">
        <v>2471.4360000000001</v>
      </c>
      <c r="CD48" s="392">
        <v>2402.31</v>
      </c>
      <c r="CE48" s="392">
        <v>2718.5819999999999</v>
      </c>
      <c r="CF48" s="392">
        <v>2574.5700000000002</v>
      </c>
      <c r="CG48" s="392">
        <v>2618.73</v>
      </c>
      <c r="CH48" s="392">
        <v>2564.6459999999997</v>
      </c>
      <c r="CI48" s="392">
        <v>2623.2240000000002</v>
      </c>
      <c r="CJ48" s="392">
        <v>2677.3380000000002</v>
      </c>
      <c r="CK48" s="392">
        <v>2550.2400000000002</v>
      </c>
      <c r="CL48" s="392">
        <v>2551.9740000000002</v>
      </c>
      <c r="CM48" s="392">
        <v>2961.192</v>
      </c>
      <c r="CN48" s="392">
        <v>2700.4140000000002</v>
      </c>
      <c r="CO48" s="392">
        <v>2810.1779999999999</v>
      </c>
      <c r="CP48" s="392">
        <v>2788.212</v>
      </c>
      <c r="CQ48" s="392">
        <v>3013.8239999999996</v>
      </c>
      <c r="CR48" s="392">
        <v>2796.9960000000001</v>
      </c>
      <c r="CS48" s="392">
        <v>2963.55</v>
      </c>
      <c r="CT48" s="392">
        <v>2176.5839999999998</v>
      </c>
      <c r="CU48" s="392">
        <v>1920.0419999999999</v>
      </c>
      <c r="CV48" s="392">
        <v>1751.22</v>
      </c>
      <c r="CW48" s="392">
        <v>1714.944</v>
      </c>
      <c r="CX48" s="392">
        <v>1767.0479999999998</v>
      </c>
      <c r="CY48" s="392">
        <v>1513.998</v>
      </c>
      <c r="CZ48" s="392">
        <v>1417.98</v>
      </c>
      <c r="DA48" s="392">
        <v>1313.8440000000001</v>
      </c>
      <c r="DB48" s="392">
        <v>1304.79</v>
      </c>
      <c r="DC48" s="392">
        <v>1320.192</v>
      </c>
      <c r="DD48" s="392">
        <v>1382.76</v>
      </c>
      <c r="DE48" s="392">
        <v>1222.2240000000002</v>
      </c>
      <c r="DF48" s="392">
        <v>1140.9000000000001</v>
      </c>
      <c r="DG48" s="392">
        <v>1149.864</v>
      </c>
      <c r="DH48" s="392">
        <v>1310.6759999999999</v>
      </c>
      <c r="DI48" s="392">
        <v>1304.922</v>
      </c>
      <c r="DJ48" s="392">
        <v>1371.66</v>
      </c>
      <c r="DK48" s="392">
        <v>1369.866</v>
      </c>
      <c r="DL48" s="392">
        <v>1482.8879999999999</v>
      </c>
      <c r="DM48" s="392">
        <v>1490.7719999999999</v>
      </c>
      <c r="DN48" s="392">
        <v>1593.096</v>
      </c>
      <c r="DO48" s="392">
        <v>1714.116</v>
      </c>
      <c r="DP48" s="392">
        <v>1772.9339999999997</v>
      </c>
      <c r="DQ48" s="392">
        <v>1889.7539999999999</v>
      </c>
      <c r="DR48" s="392">
        <v>1742.508</v>
      </c>
      <c r="DS48" s="392">
        <v>1679.3999999999999</v>
      </c>
      <c r="DT48" s="392">
        <v>1752.81</v>
      </c>
      <c r="DU48" s="392">
        <v>1731.2280000000001</v>
      </c>
      <c r="DV48" s="392">
        <v>2077.9859999999999</v>
      </c>
      <c r="DW48" s="392">
        <v>1913.8980000000001</v>
      </c>
      <c r="DX48" s="392">
        <v>1840.8959999999997</v>
      </c>
      <c r="DY48" s="392">
        <v>2033.04</v>
      </c>
      <c r="DZ48" s="392">
        <v>2191.9140000000002</v>
      </c>
      <c r="EA48" s="392">
        <v>2246.652</v>
      </c>
      <c r="EB48" s="392">
        <v>2135.1660000000002</v>
      </c>
      <c r="EC48" s="392">
        <v>2359.9679999999998</v>
      </c>
      <c r="ED48" s="392">
        <v>2365.1999999999998</v>
      </c>
      <c r="EE48" s="392">
        <v>2506.1880000000001</v>
      </c>
      <c r="EF48" s="392">
        <v>2560.1040000000003</v>
      </c>
      <c r="EG48" s="392">
        <v>2549.5859999999998</v>
      </c>
      <c r="EH48" s="392">
        <v>2789.7719999999999</v>
      </c>
      <c r="EI48" s="392">
        <v>2694.84</v>
      </c>
      <c r="EJ48" s="392">
        <v>2850.654</v>
      </c>
      <c r="EK48" s="392">
        <v>2903.2020000000002</v>
      </c>
      <c r="EL48" s="392">
        <v>2820.0299999999997</v>
      </c>
      <c r="EM48" s="392">
        <v>3059.8139999999999</v>
      </c>
      <c r="EN48" s="392">
        <v>3023.2440000000001</v>
      </c>
      <c r="EO48" s="392">
        <v>2766.4920000000002</v>
      </c>
      <c r="EP48" s="392">
        <v>2749.4459999999999</v>
      </c>
      <c r="EQ48" s="392">
        <v>2153.0940000000001</v>
      </c>
      <c r="ER48" s="392">
        <v>2277.8760000000002</v>
      </c>
      <c r="ES48" s="392">
        <v>2209.6379999999999</v>
      </c>
      <c r="ET48" s="392">
        <v>2231.9520000000002</v>
      </c>
      <c r="EU48" s="392">
        <v>2059.482</v>
      </c>
      <c r="EV48" s="392">
        <v>1843.422</v>
      </c>
      <c r="EW48" s="392">
        <v>1773.402</v>
      </c>
      <c r="EX48" s="392">
        <v>1484.328</v>
      </c>
      <c r="EY48" s="392">
        <v>1573.0620000000001</v>
      </c>
      <c r="EZ48" s="392">
        <v>1496.634</v>
      </c>
      <c r="FA48" s="392">
        <v>1407.8519999999999</v>
      </c>
      <c r="FB48" s="392">
        <v>1382.2260000000001</v>
      </c>
      <c r="FC48" s="392">
        <v>1376.5440000000001</v>
      </c>
      <c r="FD48" s="392">
        <v>1463.5319999999999</v>
      </c>
      <c r="FE48" s="392">
        <v>1458.8220000000001</v>
      </c>
      <c r="FF48" s="392">
        <v>1582.7159999999999</v>
      </c>
      <c r="FG48" s="392">
        <v>1481.202</v>
      </c>
      <c r="FH48" s="392">
        <v>1552.7939999999999</v>
      </c>
      <c r="FI48" s="392">
        <v>1391.9760000000001</v>
      </c>
      <c r="FJ48" s="392">
        <v>1264.884</v>
      </c>
      <c r="FK48" s="392">
        <v>1350.9179999999999</v>
      </c>
      <c r="FL48" s="392">
        <v>1428.636</v>
      </c>
      <c r="FM48" s="392">
        <v>1288.5840000000001</v>
      </c>
      <c r="FN48" s="392">
        <v>1238.5740000000001</v>
      </c>
      <c r="FO48" s="392">
        <v>1228.7339999999999</v>
      </c>
      <c r="FP48" s="392">
        <v>1272.24</v>
      </c>
      <c r="FQ48" s="392">
        <v>1172.0520000000001</v>
      </c>
      <c r="FR48" s="392">
        <v>1240.2240000000002</v>
      </c>
      <c r="FS48" s="392">
        <v>1163.2439999999999</v>
      </c>
      <c r="FT48" s="392">
        <v>939.01200000000006</v>
      </c>
      <c r="FU48" s="392">
        <v>955.53</v>
      </c>
      <c r="FV48" s="392">
        <v>899.72400000000005</v>
      </c>
      <c r="FW48" s="392">
        <v>939.26400000000012</v>
      </c>
      <c r="FX48" s="392">
        <v>900.46800000000007</v>
      </c>
      <c r="FY48" s="392">
        <v>809.20799999999997</v>
      </c>
      <c r="FZ48" s="392">
        <v>773.44799999999987</v>
      </c>
      <c r="GA48" s="392">
        <v>759.90599999999995</v>
      </c>
      <c r="GB48" s="392">
        <v>876.93600000000004</v>
      </c>
      <c r="GC48" s="392">
        <v>744.48599999999999</v>
      </c>
      <c r="GD48" s="392">
        <v>771.42</v>
      </c>
      <c r="GE48" s="392">
        <v>785.49599999999998</v>
      </c>
      <c r="GF48" s="392">
        <v>705.24</v>
      </c>
      <c r="GG48" s="392">
        <v>728.26800000000003</v>
      </c>
      <c r="GH48" s="392">
        <v>775.01400000000012</v>
      </c>
      <c r="GI48" s="392">
        <v>744.048</v>
      </c>
      <c r="GJ48" s="392">
        <v>768.33600000000001</v>
      </c>
      <c r="GK48" s="392">
        <v>778.09799999999996</v>
      </c>
      <c r="GL48" s="392">
        <v>783.66000000000008</v>
      </c>
      <c r="GM48" s="392">
        <v>694.22399999999993</v>
      </c>
      <c r="GN48" s="392">
        <v>833.74800000000005</v>
      </c>
      <c r="GO48" s="392">
        <v>780.62999999999988</v>
      </c>
      <c r="GP48" s="392">
        <v>770.94</v>
      </c>
      <c r="GQ48" s="392">
        <v>785.53800000000001</v>
      </c>
      <c r="GR48" s="392">
        <v>754.32600000000002</v>
      </c>
      <c r="GS48" s="392">
        <v>778.91399999999999</v>
      </c>
      <c r="GT48" s="392">
        <v>820.53600000000006</v>
      </c>
      <c r="GU48" s="392">
        <v>736.33799999999997</v>
      </c>
      <c r="GV48" s="392">
        <v>793.14599999999996</v>
      </c>
      <c r="GW48" s="392">
        <v>800.35799999999995</v>
      </c>
      <c r="GX48" s="392">
        <v>718.84800000000007</v>
      </c>
      <c r="GY48" s="392">
        <v>730.11599999999999</v>
      </c>
      <c r="GZ48" s="392">
        <v>814.99800000000005</v>
      </c>
      <c r="HA48" s="392">
        <v>818.93399999999997</v>
      </c>
      <c r="HB48" s="392">
        <v>842.06399999999996</v>
      </c>
      <c r="HC48" s="392">
        <v>855.822</v>
      </c>
      <c r="HD48" s="392">
        <v>815.61</v>
      </c>
      <c r="HE48" s="392">
        <v>900.47400000000005</v>
      </c>
      <c r="HF48" s="392">
        <v>867.33</v>
      </c>
      <c r="HG48" s="392">
        <v>813.76200000000006</v>
      </c>
      <c r="HH48" s="392">
        <v>903.30000000000007</v>
      </c>
      <c r="HI48" s="392">
        <v>802.96800000000007</v>
      </c>
      <c r="HJ48" s="392">
        <v>876.73799999999994</v>
      </c>
      <c r="HK48" s="392">
        <v>794.60400000000004</v>
      </c>
      <c r="HL48" s="392">
        <v>907.17599999999993</v>
      </c>
      <c r="HM48" s="392">
        <v>761.11200000000008</v>
      </c>
      <c r="HN48" s="392">
        <v>863.58</v>
      </c>
      <c r="HO48" s="392">
        <v>729.54</v>
      </c>
      <c r="HP48" s="444">
        <v>736.09800000000007</v>
      </c>
      <c r="HQ48" s="444">
        <v>700.71600000000001</v>
      </c>
      <c r="HR48" s="444">
        <v>727.21199999999999</v>
      </c>
      <c r="HS48" s="444">
        <v>704.09999999999991</v>
      </c>
      <c r="HT48" s="444">
        <v>656.08799999999997</v>
      </c>
      <c r="HU48" s="444">
        <v>602.55600000000004</v>
      </c>
      <c r="HV48" s="392">
        <v>690.64200000000005</v>
      </c>
      <c r="HW48" s="392">
        <v>607.08000000000004</v>
      </c>
      <c r="HX48" s="392">
        <v>474.25200000000001</v>
      </c>
      <c r="HY48" s="392">
        <v>376.62</v>
      </c>
      <c r="HZ48" s="392">
        <v>547.03800000000001</v>
      </c>
      <c r="IA48" s="392">
        <v>591.90000000000009</v>
      </c>
      <c r="IB48" s="392">
        <v>563.72399999999993</v>
      </c>
      <c r="IC48" s="392">
        <v>500.68200000000002</v>
      </c>
      <c r="ID48" s="392">
        <v>264.18</v>
      </c>
      <c r="IE48" s="392">
        <v>482.67599999999999</v>
      </c>
      <c r="IF48" s="392">
        <v>422.22</v>
      </c>
      <c r="IG48" s="392">
        <v>277.17</v>
      </c>
      <c r="IH48" s="392">
        <v>142.91399999999999</v>
      </c>
      <c r="II48" s="392">
        <v>83.358000000000004</v>
      </c>
      <c r="IJ48" s="392">
        <v>106.85400000000001</v>
      </c>
      <c r="IK48" s="392">
        <v>78.804000000000002</v>
      </c>
      <c r="IL48" s="392">
        <v>81.12</v>
      </c>
      <c r="IM48" s="392">
        <v>304.79399999999998</v>
      </c>
      <c r="IN48" s="444">
        <v>284.86199999999997</v>
      </c>
      <c r="IO48" s="444">
        <v>295.26</v>
      </c>
      <c r="IP48" s="444">
        <v>278.06400000000002</v>
      </c>
      <c r="IQ48" s="444">
        <v>284.82599999999996</v>
      </c>
      <c r="IR48" s="444">
        <v>247.72799999999998</v>
      </c>
      <c r="IS48" s="444">
        <v>291.35399999999998</v>
      </c>
      <c r="IT48" s="444">
        <v>237.79199999999997</v>
      </c>
      <c r="IU48" s="444">
        <v>237.798</v>
      </c>
      <c r="IV48" s="444">
        <v>280.93799999999999</v>
      </c>
      <c r="IW48" s="445">
        <v>210.09200000000001</v>
      </c>
      <c r="IX48" s="445">
        <v>381.23599999999999</v>
      </c>
      <c r="IY48" s="445">
        <v>328.5</v>
      </c>
      <c r="IZ48" s="445">
        <v>345.01</v>
      </c>
      <c r="JA48" s="445">
        <v>373.404</v>
      </c>
      <c r="JB48" s="445">
        <v>397.09800000000001</v>
      </c>
      <c r="JC48" s="445">
        <v>395.35599999999999</v>
      </c>
      <c r="JD48" s="445">
        <v>376.03800000000001</v>
      </c>
      <c r="JE48" s="446">
        <v>368.25200000000001</v>
      </c>
    </row>
    <row r="49" spans="1:669" x14ac:dyDescent="0.3">
      <c r="A49" s="394" t="s">
        <v>87</v>
      </c>
      <c r="B49" s="395">
        <v>13004.01</v>
      </c>
      <c r="C49" s="395">
        <v>12968.976000000001</v>
      </c>
      <c r="D49" s="395">
        <v>14275.632</v>
      </c>
      <c r="E49" s="395">
        <v>13934.136000000002</v>
      </c>
      <c r="F49" s="395">
        <v>14154.797999999999</v>
      </c>
      <c r="G49" s="395">
        <v>13800.96</v>
      </c>
      <c r="H49" s="395">
        <v>14048.741999999998</v>
      </c>
      <c r="I49" s="395">
        <v>13955.73</v>
      </c>
      <c r="J49" s="395">
        <v>13237.673999999999</v>
      </c>
      <c r="K49" s="395">
        <v>13429.158000000001</v>
      </c>
      <c r="L49" s="395">
        <v>13185.341999999999</v>
      </c>
      <c r="M49" s="395">
        <v>12818.202000000001</v>
      </c>
      <c r="N49" s="395">
        <v>13788.665999999999</v>
      </c>
      <c r="O49" s="395">
        <v>12081.761999999999</v>
      </c>
      <c r="P49" s="395">
        <v>13042.41</v>
      </c>
      <c r="Q49" s="395">
        <v>12844.199999999999</v>
      </c>
      <c r="R49" s="395">
        <v>12708.402</v>
      </c>
      <c r="S49" s="395">
        <v>12322.398000000001</v>
      </c>
      <c r="T49" s="395">
        <v>14570.838</v>
      </c>
      <c r="U49" s="395">
        <v>12691.854000000001</v>
      </c>
      <c r="V49" s="395">
        <v>13745.394</v>
      </c>
      <c r="W49" s="395">
        <v>13593.300000000001</v>
      </c>
      <c r="X49" s="395">
        <v>13118.496000000001</v>
      </c>
      <c r="Y49" s="395">
        <v>13077.99</v>
      </c>
      <c r="Z49" s="395">
        <v>12878.724000000002</v>
      </c>
      <c r="AA49" s="395">
        <v>12420.036</v>
      </c>
      <c r="AB49" s="395">
        <v>13790.52</v>
      </c>
      <c r="AC49" s="395">
        <v>12720.078</v>
      </c>
      <c r="AD49" s="395">
        <v>13007.130000000001</v>
      </c>
      <c r="AE49" s="395">
        <v>13083.761999999999</v>
      </c>
      <c r="AF49" s="395">
        <v>13577.645999999999</v>
      </c>
      <c r="AG49" s="395">
        <v>13457.807999999999</v>
      </c>
      <c r="AH49" s="395">
        <v>13373.49</v>
      </c>
      <c r="AI49" s="395">
        <v>13421.189999999999</v>
      </c>
      <c r="AJ49" s="395">
        <v>13634.304</v>
      </c>
      <c r="AK49" s="395">
        <v>13618.518</v>
      </c>
      <c r="AL49" s="395">
        <v>13337.43</v>
      </c>
      <c r="AM49" s="395">
        <v>14130.905999999999</v>
      </c>
      <c r="AN49" s="395">
        <v>14434.025999999998</v>
      </c>
      <c r="AO49" s="395">
        <v>13422.281999999999</v>
      </c>
      <c r="AP49" s="395">
        <v>14192.838</v>
      </c>
      <c r="AQ49" s="395">
        <v>14252.016</v>
      </c>
      <c r="AR49" s="395">
        <v>14054.382</v>
      </c>
      <c r="AS49" s="395">
        <v>13758.420000000002</v>
      </c>
      <c r="AT49" s="395">
        <v>13549.506000000001</v>
      </c>
      <c r="AU49" s="395">
        <v>13290.150000000001</v>
      </c>
      <c r="AV49" s="395">
        <v>13606.403999999999</v>
      </c>
      <c r="AW49" s="395">
        <v>12417.588</v>
      </c>
      <c r="AX49" s="395">
        <v>12223.637999999999</v>
      </c>
      <c r="AY49" s="395">
        <v>11911.962</v>
      </c>
      <c r="AZ49" s="395">
        <v>12403.812000000002</v>
      </c>
      <c r="BA49" s="395">
        <v>12092.052</v>
      </c>
      <c r="BB49" s="395">
        <v>12469.356</v>
      </c>
      <c r="BC49" s="395">
        <v>12442.968000000001</v>
      </c>
      <c r="BD49" s="395">
        <v>12078.198</v>
      </c>
      <c r="BE49" s="395">
        <v>12505.050000000001</v>
      </c>
      <c r="BF49" s="395">
        <v>12452.01</v>
      </c>
      <c r="BG49" s="395">
        <v>12459.630000000001</v>
      </c>
      <c r="BH49" s="395">
        <v>12518.97</v>
      </c>
      <c r="BI49" s="395">
        <v>11934.371999999999</v>
      </c>
      <c r="BJ49" s="395">
        <v>11551.956</v>
      </c>
      <c r="BK49" s="395">
        <v>11573.064</v>
      </c>
      <c r="BL49" s="395">
        <v>12292.23</v>
      </c>
      <c r="BM49" s="395">
        <v>12695.988000000001</v>
      </c>
      <c r="BN49" s="395">
        <v>13175.856</v>
      </c>
      <c r="BO49" s="395">
        <v>13030.452000000001</v>
      </c>
      <c r="BP49" s="395">
        <v>13087.86</v>
      </c>
      <c r="BQ49" s="395">
        <v>13143.317999999999</v>
      </c>
      <c r="BR49" s="395">
        <v>12965.544</v>
      </c>
      <c r="BS49" s="395">
        <v>13087.272000000001</v>
      </c>
      <c r="BT49" s="395">
        <v>13296.84</v>
      </c>
      <c r="BU49" s="395">
        <v>13176.942000000001</v>
      </c>
      <c r="BV49" s="395">
        <v>13420.584000000001</v>
      </c>
      <c r="BW49" s="395">
        <v>13220.369999999999</v>
      </c>
      <c r="BX49" s="395">
        <v>14141.976000000001</v>
      </c>
      <c r="BY49" s="395">
        <v>13507.415999999999</v>
      </c>
      <c r="BZ49" s="395">
        <v>14257.848</v>
      </c>
      <c r="CA49" s="395">
        <v>14255.838</v>
      </c>
      <c r="CB49" s="395">
        <v>14602.998</v>
      </c>
      <c r="CC49" s="395">
        <v>14510.868</v>
      </c>
      <c r="CD49" s="395">
        <v>14261.946</v>
      </c>
      <c r="CE49" s="395">
        <v>14252.099999999999</v>
      </c>
      <c r="CF49" s="395">
        <v>15478.841999999999</v>
      </c>
      <c r="CG49" s="395">
        <v>14226.936</v>
      </c>
      <c r="CH49" s="395">
        <v>14067.378000000001</v>
      </c>
      <c r="CI49" s="395">
        <v>14121.96</v>
      </c>
      <c r="CJ49" s="395">
        <v>15013.044</v>
      </c>
      <c r="CK49" s="395">
        <v>15469.763999999999</v>
      </c>
      <c r="CL49" s="395">
        <v>16944.93</v>
      </c>
      <c r="CM49" s="395">
        <v>15713.741999999998</v>
      </c>
      <c r="CN49" s="395">
        <v>15361.59</v>
      </c>
      <c r="CO49" s="395">
        <v>16105.452000000001</v>
      </c>
      <c r="CP49" s="395">
        <v>15428.202000000001</v>
      </c>
      <c r="CQ49" s="395">
        <v>16940.436000000002</v>
      </c>
      <c r="CR49" s="395">
        <v>15984.48</v>
      </c>
      <c r="CS49" s="395">
        <v>15514.644</v>
      </c>
      <c r="CT49" s="395">
        <v>16353.66</v>
      </c>
      <c r="CU49" s="395">
        <v>16313.184000000001</v>
      </c>
      <c r="CV49" s="395">
        <v>17798.142</v>
      </c>
      <c r="CW49" s="395">
        <v>17714.898000000001</v>
      </c>
      <c r="CX49" s="395">
        <v>18905.658000000003</v>
      </c>
      <c r="CY49" s="395">
        <v>17500.344000000001</v>
      </c>
      <c r="CZ49" s="395">
        <v>16946.988000000001</v>
      </c>
      <c r="DA49" s="395">
        <v>16446.576000000001</v>
      </c>
      <c r="DB49" s="395">
        <v>16233.743999999999</v>
      </c>
      <c r="DC49" s="395">
        <v>17221.439999999999</v>
      </c>
      <c r="DD49" s="395">
        <v>14967.335999999999</v>
      </c>
      <c r="DE49" s="395">
        <v>15033.036</v>
      </c>
      <c r="DF49" s="395">
        <v>14478.474000000002</v>
      </c>
      <c r="DG49" s="395">
        <v>15687.516</v>
      </c>
      <c r="DH49" s="395">
        <v>17331.726000000002</v>
      </c>
      <c r="DI49" s="395">
        <v>17629.745999999999</v>
      </c>
      <c r="DJ49" s="395">
        <v>17502.516</v>
      </c>
      <c r="DK49" s="395">
        <v>17087.184000000001</v>
      </c>
      <c r="DL49" s="395">
        <v>17177.207999999999</v>
      </c>
      <c r="DM49" s="395">
        <v>17626.878000000001</v>
      </c>
      <c r="DN49" s="395">
        <v>17048.273999999998</v>
      </c>
      <c r="DO49" s="395">
        <v>16980.87</v>
      </c>
      <c r="DP49" s="395">
        <v>17470.236000000001</v>
      </c>
      <c r="DQ49" s="395">
        <v>17052.131999999998</v>
      </c>
      <c r="DR49" s="395">
        <v>17528.892</v>
      </c>
      <c r="DS49" s="395">
        <v>16873.721999999998</v>
      </c>
      <c r="DT49" s="395">
        <v>18409.025999999998</v>
      </c>
      <c r="DU49" s="395">
        <v>18233.652000000002</v>
      </c>
      <c r="DV49" s="395">
        <v>19114.944</v>
      </c>
      <c r="DW49" s="395">
        <v>18490.775999999998</v>
      </c>
      <c r="DX49" s="395">
        <v>19405.11</v>
      </c>
      <c r="DY49" s="395">
        <v>20032.241999999998</v>
      </c>
      <c r="DZ49" s="395">
        <v>20476.53</v>
      </c>
      <c r="EA49" s="395">
        <v>20635.698</v>
      </c>
      <c r="EB49" s="395">
        <v>20929.062000000002</v>
      </c>
      <c r="EC49" s="395">
        <v>20203.457999999999</v>
      </c>
      <c r="ED49" s="395">
        <v>20364.942000000003</v>
      </c>
      <c r="EE49" s="395">
        <v>20517.726000000002</v>
      </c>
      <c r="EF49" s="395">
        <v>21773.076000000001</v>
      </c>
      <c r="EG49" s="395">
        <v>21420.324000000001</v>
      </c>
      <c r="EH49" s="395">
        <v>22497.144</v>
      </c>
      <c r="EI49" s="395">
        <v>21982.044000000002</v>
      </c>
      <c r="EJ49" s="395">
        <v>22578.977999999999</v>
      </c>
      <c r="EK49" s="395">
        <v>22597.295999999998</v>
      </c>
      <c r="EL49" s="395">
        <v>22281.995999999999</v>
      </c>
      <c r="EM49" s="395">
        <v>22591.817999999999</v>
      </c>
      <c r="EN49" s="395">
        <v>21550.050000000003</v>
      </c>
      <c r="EO49" s="395">
        <v>20414.633999999998</v>
      </c>
      <c r="EP49" s="395">
        <v>21657.54</v>
      </c>
      <c r="EQ49" s="395">
        <v>20936.189999999999</v>
      </c>
      <c r="ER49" s="395">
        <v>21721.974000000002</v>
      </c>
      <c r="ES49" s="395">
        <v>21234.576000000001</v>
      </c>
      <c r="ET49" s="395">
        <v>22003.937999999998</v>
      </c>
      <c r="EU49" s="395">
        <v>20779.596000000001</v>
      </c>
      <c r="EV49" s="395">
        <v>20196.905999999999</v>
      </c>
      <c r="EW49" s="395">
        <v>19125.504000000001</v>
      </c>
      <c r="EX49" s="395">
        <v>18640.518</v>
      </c>
      <c r="EY49" s="395">
        <v>18171.732</v>
      </c>
      <c r="EZ49" s="395">
        <v>19230.87</v>
      </c>
      <c r="FA49" s="395">
        <v>16532.376</v>
      </c>
      <c r="FB49" s="395">
        <v>16440.21</v>
      </c>
      <c r="FC49" s="395">
        <v>15942.036</v>
      </c>
      <c r="FD49" s="395">
        <v>16771.68</v>
      </c>
      <c r="FE49" s="395">
        <v>16654.362000000001</v>
      </c>
      <c r="FF49" s="395">
        <v>16969.205999999998</v>
      </c>
      <c r="FG49" s="395">
        <v>16309.974000000002</v>
      </c>
      <c r="FH49" s="395">
        <v>16717.902000000002</v>
      </c>
      <c r="FI49" s="395">
        <v>17145.306</v>
      </c>
      <c r="FJ49" s="395">
        <v>16681.878000000001</v>
      </c>
      <c r="FK49" s="395">
        <v>17730.636000000002</v>
      </c>
      <c r="FL49" s="395">
        <v>17017.493999999999</v>
      </c>
      <c r="FM49" s="395">
        <v>16518.047999999999</v>
      </c>
      <c r="FN49" s="395">
        <v>16409.466</v>
      </c>
      <c r="FO49" s="395">
        <v>16497.653999999999</v>
      </c>
      <c r="FP49" s="395">
        <v>18022.727999999999</v>
      </c>
      <c r="FQ49" s="395">
        <v>17638.332000000002</v>
      </c>
      <c r="FR49" s="395">
        <v>17757.065999999999</v>
      </c>
      <c r="FS49" s="395">
        <v>17696.921999999999</v>
      </c>
      <c r="FT49" s="395">
        <v>18202.866000000002</v>
      </c>
      <c r="FU49" s="395">
        <v>18540.204000000002</v>
      </c>
      <c r="FV49" s="395">
        <v>17852.094000000001</v>
      </c>
      <c r="FW49" s="395">
        <v>19088.856</v>
      </c>
      <c r="FX49" s="395">
        <v>19013.886000000002</v>
      </c>
      <c r="FY49" s="395">
        <v>18553.464</v>
      </c>
      <c r="FZ49" s="395">
        <v>19015.506000000001</v>
      </c>
      <c r="GA49" s="395">
        <v>19441.908000000003</v>
      </c>
      <c r="GB49" s="395">
        <v>20197.824000000001</v>
      </c>
      <c r="GC49" s="395">
        <v>20595.09</v>
      </c>
      <c r="GD49" s="395">
        <v>20966.37</v>
      </c>
      <c r="GE49" s="395">
        <v>20812.817999999999</v>
      </c>
      <c r="GF49" s="395">
        <v>21029.292000000001</v>
      </c>
      <c r="GG49" s="395">
        <v>21415.955999999998</v>
      </c>
      <c r="GH49" s="395">
        <v>21112.841999999997</v>
      </c>
      <c r="GI49" s="395">
        <v>22157.25</v>
      </c>
      <c r="GJ49" s="395">
        <v>21950.286</v>
      </c>
      <c r="GK49" s="395">
        <v>20652.425999999999</v>
      </c>
      <c r="GL49" s="395">
        <v>21284.94</v>
      </c>
      <c r="GM49" s="395">
        <v>20710.452000000001</v>
      </c>
      <c r="GN49" s="395">
        <v>22570.518</v>
      </c>
      <c r="GO49" s="395">
        <v>21604.344000000001</v>
      </c>
      <c r="GP49" s="395">
        <v>23992.332000000002</v>
      </c>
      <c r="GQ49" s="395">
        <v>22689.786</v>
      </c>
      <c r="GR49" s="395">
        <v>23209.205999999998</v>
      </c>
      <c r="GS49" s="395">
        <v>23840.795999999998</v>
      </c>
      <c r="GT49" s="395">
        <v>22421.82</v>
      </c>
      <c r="GU49" s="395">
        <v>24530.328000000001</v>
      </c>
      <c r="GV49" s="395">
        <v>23738.784</v>
      </c>
      <c r="GW49" s="395">
        <v>22606.164000000001</v>
      </c>
      <c r="GX49" s="395">
        <v>23274.023999999998</v>
      </c>
      <c r="GY49" s="395">
        <v>22820.982</v>
      </c>
      <c r="GZ49" s="395">
        <v>25318.398000000001</v>
      </c>
      <c r="HA49" s="395">
        <v>24086.736000000001</v>
      </c>
      <c r="HB49" s="395">
        <v>25087.277999999998</v>
      </c>
      <c r="HC49" s="395">
        <v>24453.756000000001</v>
      </c>
      <c r="HD49" s="395">
        <v>26145.642</v>
      </c>
      <c r="HE49" s="395">
        <v>25584.198000000004</v>
      </c>
      <c r="HF49" s="395">
        <v>24424.182000000001</v>
      </c>
      <c r="HG49" s="395">
        <v>26076.875999999997</v>
      </c>
      <c r="HH49" s="395">
        <v>26831.748</v>
      </c>
      <c r="HI49" s="395">
        <v>24318.594000000001</v>
      </c>
      <c r="HJ49" s="395">
        <v>25281.438000000002</v>
      </c>
      <c r="HK49" s="395">
        <v>24252.186000000002</v>
      </c>
      <c r="HL49" s="395">
        <v>27045.192000000003</v>
      </c>
      <c r="HM49" s="395">
        <v>25584.845999999998</v>
      </c>
      <c r="HN49" s="395">
        <v>27105.347999999998</v>
      </c>
      <c r="HO49" s="395">
        <v>25272.425999999999</v>
      </c>
      <c r="HP49" s="395">
        <v>27455.07</v>
      </c>
      <c r="HQ49" s="395">
        <v>26102.712</v>
      </c>
      <c r="HR49" s="395">
        <v>25342.031999999999</v>
      </c>
      <c r="HS49" s="395">
        <v>26780.196</v>
      </c>
      <c r="HT49" s="395">
        <v>26701.788</v>
      </c>
      <c r="HU49" s="395">
        <v>25310.196</v>
      </c>
      <c r="HV49" s="395">
        <v>25727.477999999996</v>
      </c>
      <c r="HW49" s="395">
        <v>25863.347999999998</v>
      </c>
      <c r="HX49" s="395">
        <v>27372.972000000002</v>
      </c>
      <c r="HY49" s="395">
        <v>25193.466</v>
      </c>
      <c r="HZ49" s="395">
        <v>26842.541999999998</v>
      </c>
      <c r="IA49" s="395">
        <v>26748.131999999998</v>
      </c>
      <c r="IB49" s="395">
        <v>27620.748</v>
      </c>
      <c r="IC49" s="395">
        <v>27526.878000000001</v>
      </c>
      <c r="ID49" s="395">
        <v>26699.772000000004</v>
      </c>
      <c r="IE49" s="395">
        <v>27538.608</v>
      </c>
      <c r="IF49" s="395">
        <v>27936.912</v>
      </c>
      <c r="IG49" s="395">
        <v>27153.263999999999</v>
      </c>
      <c r="IH49" s="395">
        <v>27929.100000000002</v>
      </c>
      <c r="II49" s="395">
        <v>27028.986000000001</v>
      </c>
      <c r="IJ49" s="395">
        <v>31196.742000000002</v>
      </c>
      <c r="IK49" s="395">
        <v>29304.737999999998</v>
      </c>
      <c r="IL49" s="395">
        <v>30989.928</v>
      </c>
      <c r="IM49" s="395">
        <v>30108.227999999996</v>
      </c>
      <c r="IN49" s="15">
        <v>30582.03</v>
      </c>
      <c r="IO49" s="15">
        <v>31196.142</v>
      </c>
      <c r="IP49" s="15">
        <v>29543.088</v>
      </c>
      <c r="IQ49" s="15">
        <v>31035.557999999997</v>
      </c>
      <c r="IR49" s="15">
        <v>31787.154000000002</v>
      </c>
      <c r="IS49" s="15">
        <v>29887.536</v>
      </c>
      <c r="IT49" s="15">
        <v>30324.629999999997</v>
      </c>
      <c r="IU49" s="15">
        <v>29906.214</v>
      </c>
      <c r="IV49" s="15">
        <v>31747.482000000004</v>
      </c>
      <c r="IW49" s="15">
        <v>31059.35</v>
      </c>
      <c r="IX49" s="15">
        <v>30963.441999999999</v>
      </c>
      <c r="IY49" s="15">
        <v>30474.777999999998</v>
      </c>
      <c r="IZ49" s="15">
        <v>29469.882000000001</v>
      </c>
      <c r="JA49" s="15">
        <v>29389.276000000002</v>
      </c>
      <c r="JB49" s="15">
        <v>31100.080000000002</v>
      </c>
      <c r="JC49" s="15">
        <v>31262.959999999999</v>
      </c>
      <c r="JD49" s="15">
        <v>32069.916000000001</v>
      </c>
      <c r="JE49" s="447">
        <v>33102.44</v>
      </c>
    </row>
    <row r="50" spans="1:669" x14ac:dyDescent="0.3">
      <c r="A50" s="394" t="s">
        <v>88</v>
      </c>
      <c r="B50" s="392">
        <v>7993.14</v>
      </c>
      <c r="C50" s="392">
        <v>8069.4959999999992</v>
      </c>
      <c r="D50" s="392">
        <v>9265.7880000000005</v>
      </c>
      <c r="E50" s="392">
        <v>8397.6059999999998</v>
      </c>
      <c r="F50" s="392">
        <v>9147.9600000000009</v>
      </c>
      <c r="G50" s="392">
        <v>8626.134</v>
      </c>
      <c r="H50" s="392">
        <v>8898.6180000000004</v>
      </c>
      <c r="I50" s="392">
        <v>9632.6219999999994</v>
      </c>
      <c r="J50" s="392">
        <v>8500.1219999999994</v>
      </c>
      <c r="K50" s="392">
        <v>8995.7100000000009</v>
      </c>
      <c r="L50" s="392">
        <v>9424.2180000000008</v>
      </c>
      <c r="M50" s="392">
        <v>8202.1139999999996</v>
      </c>
      <c r="N50" s="392">
        <v>8195.5259999999998</v>
      </c>
      <c r="O50" s="392">
        <v>7314.3719999999994</v>
      </c>
      <c r="P50" s="392">
        <v>8457.3240000000005</v>
      </c>
      <c r="Q50" s="392">
        <v>7637.2019999999993</v>
      </c>
      <c r="R50" s="392">
        <v>8259.0839999999989</v>
      </c>
      <c r="S50" s="392">
        <v>7894.7999999999993</v>
      </c>
      <c r="T50" s="392">
        <v>8216.4000000000015</v>
      </c>
      <c r="U50" s="392">
        <v>8464.7880000000005</v>
      </c>
      <c r="V50" s="392">
        <v>8812.1819999999989</v>
      </c>
      <c r="W50" s="392">
        <v>9343.23</v>
      </c>
      <c r="X50" s="392">
        <v>9260.0519999999997</v>
      </c>
      <c r="Y50" s="392">
        <v>9495.7920000000013</v>
      </c>
      <c r="Z50" s="392">
        <v>9598.26</v>
      </c>
      <c r="AA50" s="392">
        <v>9549.6239999999998</v>
      </c>
      <c r="AB50" s="392">
        <v>10548.954000000002</v>
      </c>
      <c r="AC50" s="392">
        <v>9731.9519999999993</v>
      </c>
      <c r="AD50" s="392">
        <v>10929.612000000001</v>
      </c>
      <c r="AE50" s="392">
        <v>10183.476000000001</v>
      </c>
      <c r="AF50" s="392">
        <v>10603.596000000001</v>
      </c>
      <c r="AG50" s="392">
        <v>10673.706</v>
      </c>
      <c r="AH50" s="392">
        <v>10868.034</v>
      </c>
      <c r="AI50" s="392">
        <v>11368.451999999999</v>
      </c>
      <c r="AJ50" s="392">
        <v>11066.261999999999</v>
      </c>
      <c r="AK50" s="392">
        <v>11019.294</v>
      </c>
      <c r="AL50" s="392">
        <v>11491.962</v>
      </c>
      <c r="AM50" s="392">
        <v>11403.126</v>
      </c>
      <c r="AN50" s="392">
        <v>12438.27</v>
      </c>
      <c r="AO50" s="392">
        <v>12039.995999999999</v>
      </c>
      <c r="AP50" s="392">
        <v>12902.687999999998</v>
      </c>
      <c r="AQ50" s="392">
        <v>13409.82</v>
      </c>
      <c r="AR50" s="392">
        <v>12602.939999999999</v>
      </c>
      <c r="AS50" s="392">
        <v>12445.067999999999</v>
      </c>
      <c r="AT50" s="392">
        <v>13378.686</v>
      </c>
      <c r="AU50" s="392">
        <v>13435.457999999999</v>
      </c>
      <c r="AV50" s="392">
        <v>12913.523999999999</v>
      </c>
      <c r="AW50" s="392">
        <v>11626.302</v>
      </c>
      <c r="AX50" s="392">
        <v>11213.502</v>
      </c>
      <c r="AY50" s="392">
        <v>11299.314</v>
      </c>
      <c r="AZ50" s="392">
        <v>12630.642</v>
      </c>
      <c r="BA50" s="392">
        <v>12064.578</v>
      </c>
      <c r="BB50" s="392">
        <v>13032.366000000002</v>
      </c>
      <c r="BC50" s="392">
        <v>12770.880000000001</v>
      </c>
      <c r="BD50" s="392">
        <v>13811.165999999999</v>
      </c>
      <c r="BE50" s="392">
        <v>13033.98</v>
      </c>
      <c r="BF50" s="392">
        <v>13971.420000000002</v>
      </c>
      <c r="BG50" s="392">
        <v>14484.815999999999</v>
      </c>
      <c r="BH50" s="392">
        <v>14719.128000000001</v>
      </c>
      <c r="BI50" s="392">
        <v>13676.388000000001</v>
      </c>
      <c r="BJ50" s="392">
        <v>13110.425999999999</v>
      </c>
      <c r="BK50" s="392">
        <v>14753.952000000001</v>
      </c>
      <c r="BL50" s="392">
        <v>16118.376</v>
      </c>
      <c r="BM50" s="392">
        <v>15492.576000000001</v>
      </c>
      <c r="BN50" s="392">
        <v>17597.226000000002</v>
      </c>
      <c r="BO50" s="392">
        <v>17553.09</v>
      </c>
      <c r="BP50" s="392">
        <v>17825.79</v>
      </c>
      <c r="BQ50" s="392">
        <v>18317.417999999998</v>
      </c>
      <c r="BR50" s="392">
        <v>18844.704000000002</v>
      </c>
      <c r="BS50" s="392">
        <v>18919.596000000001</v>
      </c>
      <c r="BT50" s="392">
        <v>18599.334000000003</v>
      </c>
      <c r="BU50" s="392">
        <v>16861.164000000001</v>
      </c>
      <c r="BV50" s="392">
        <v>16253.633999999998</v>
      </c>
      <c r="BW50" s="392">
        <v>18277.871999999999</v>
      </c>
      <c r="BX50" s="392">
        <v>18026.256000000001</v>
      </c>
      <c r="BY50" s="392">
        <v>17916.894</v>
      </c>
      <c r="BZ50" s="392">
        <v>19976.189999999999</v>
      </c>
      <c r="CA50" s="392">
        <v>18961.482</v>
      </c>
      <c r="CB50" s="392">
        <v>19761.851999999999</v>
      </c>
      <c r="CC50" s="392">
        <v>20545.794000000002</v>
      </c>
      <c r="CD50" s="392">
        <v>18671.46</v>
      </c>
      <c r="CE50" s="392">
        <v>18737.64</v>
      </c>
      <c r="CF50" s="392">
        <v>19169.88</v>
      </c>
      <c r="CG50" s="392">
        <v>16944.425999999999</v>
      </c>
      <c r="CH50" s="392">
        <v>18630.954000000002</v>
      </c>
      <c r="CI50" s="392">
        <v>19305.900000000001</v>
      </c>
      <c r="CJ50" s="392">
        <v>19986.366000000002</v>
      </c>
      <c r="CK50" s="392">
        <v>20440.974000000002</v>
      </c>
      <c r="CL50" s="392">
        <v>21670.949999999997</v>
      </c>
      <c r="CM50" s="392">
        <v>22476.353999999999</v>
      </c>
      <c r="CN50" s="392">
        <v>24318.516</v>
      </c>
      <c r="CO50" s="392">
        <v>25914.708000000002</v>
      </c>
      <c r="CP50" s="392">
        <v>26571.306000000004</v>
      </c>
      <c r="CQ50" s="392">
        <v>27224.634000000002</v>
      </c>
      <c r="CR50" s="392">
        <v>26325.023999999998</v>
      </c>
      <c r="CS50" s="392">
        <v>22807.871999999999</v>
      </c>
      <c r="CT50" s="392">
        <v>23460.252</v>
      </c>
      <c r="CU50" s="392">
        <v>24249.768</v>
      </c>
      <c r="CV50" s="392">
        <v>26876.94</v>
      </c>
      <c r="CW50" s="392">
        <v>26220.575999999997</v>
      </c>
      <c r="CX50" s="392">
        <v>26364.378000000001</v>
      </c>
      <c r="CY50" s="392">
        <v>26226.03</v>
      </c>
      <c r="CZ50" s="392">
        <v>27481.031999999999</v>
      </c>
      <c r="DA50" s="392">
        <v>26348.004000000001</v>
      </c>
      <c r="DB50" s="392">
        <v>25737.642</v>
      </c>
      <c r="DC50" s="392">
        <v>26280.125999999997</v>
      </c>
      <c r="DD50" s="392">
        <v>26706.306000000004</v>
      </c>
      <c r="DE50" s="392">
        <v>25166.856</v>
      </c>
      <c r="DF50" s="392">
        <v>24186.57</v>
      </c>
      <c r="DG50" s="392">
        <v>24605.831999999999</v>
      </c>
      <c r="DH50" s="392">
        <v>26400.773999999998</v>
      </c>
      <c r="DI50" s="392">
        <v>25197.534</v>
      </c>
      <c r="DJ50" s="392">
        <v>26358.425999999999</v>
      </c>
      <c r="DK50" s="392">
        <v>27510.905999999999</v>
      </c>
      <c r="DL50" s="392">
        <v>29404.925999999999</v>
      </c>
      <c r="DM50" s="392">
        <v>29891.825999999997</v>
      </c>
      <c r="DN50" s="392">
        <v>28963.878000000001</v>
      </c>
      <c r="DO50" s="392">
        <v>30274.686000000002</v>
      </c>
      <c r="DP50" s="392">
        <v>30854.057999999997</v>
      </c>
      <c r="DQ50" s="392">
        <v>27921.972000000002</v>
      </c>
      <c r="DR50" s="392">
        <v>28642.097999999998</v>
      </c>
      <c r="DS50" s="392">
        <v>27615.654000000002</v>
      </c>
      <c r="DT50" s="392">
        <v>30481.182000000001</v>
      </c>
      <c r="DU50" s="392">
        <v>30531.870000000003</v>
      </c>
      <c r="DV50" s="392">
        <v>34784.304000000004</v>
      </c>
      <c r="DW50" s="392">
        <v>34127.61</v>
      </c>
      <c r="DX50" s="392">
        <v>34969.241999999998</v>
      </c>
      <c r="DY50" s="392">
        <v>36905.675999999999</v>
      </c>
      <c r="DZ50" s="392">
        <v>36808.71</v>
      </c>
      <c r="EA50" s="392">
        <v>37581.54</v>
      </c>
      <c r="EB50" s="392">
        <v>38567.856</v>
      </c>
      <c r="EC50" s="392">
        <v>35972.016000000003</v>
      </c>
      <c r="ED50" s="392">
        <v>37952.093999999997</v>
      </c>
      <c r="EE50" s="392">
        <v>40701.953999999998</v>
      </c>
      <c r="EF50" s="392">
        <v>44735.544000000002</v>
      </c>
      <c r="EG50" s="392">
        <v>44108.142</v>
      </c>
      <c r="EH50" s="392">
        <v>48710.67</v>
      </c>
      <c r="EI50" s="392">
        <v>47598.335999999996</v>
      </c>
      <c r="EJ50" s="392">
        <v>50181.743999999999</v>
      </c>
      <c r="EK50" s="392">
        <v>52708.205999999991</v>
      </c>
      <c r="EL50" s="392">
        <v>49996.17</v>
      </c>
      <c r="EM50" s="392">
        <v>51085.782000000007</v>
      </c>
      <c r="EN50" s="392">
        <v>49376.466</v>
      </c>
      <c r="EO50" s="392">
        <v>47460.365999999995</v>
      </c>
      <c r="EP50" s="392">
        <v>50702.351999999999</v>
      </c>
      <c r="EQ50" s="392">
        <v>53326.302000000003</v>
      </c>
      <c r="ER50" s="392">
        <v>54457.001999999993</v>
      </c>
      <c r="ES50" s="392">
        <v>56769.024000000005</v>
      </c>
      <c r="ET50" s="392">
        <v>55799.831999999995</v>
      </c>
      <c r="EU50" s="392">
        <v>55393.127999999997</v>
      </c>
      <c r="EV50" s="392">
        <v>59563.092000000004</v>
      </c>
      <c r="EW50" s="392">
        <v>62850.828000000009</v>
      </c>
      <c r="EX50" s="392">
        <v>57639.581999999995</v>
      </c>
      <c r="EY50" s="392">
        <v>58910.771999999997</v>
      </c>
      <c r="EZ50" s="392">
        <v>56827.134000000005</v>
      </c>
      <c r="FA50" s="392">
        <v>50542.433999999994</v>
      </c>
      <c r="FB50" s="392">
        <v>51565.061999999998</v>
      </c>
      <c r="FC50" s="392">
        <v>51144.671999999991</v>
      </c>
      <c r="FD50" s="392">
        <v>57117.078000000009</v>
      </c>
      <c r="FE50" s="392">
        <v>55212.593999999997</v>
      </c>
      <c r="FF50" s="392">
        <v>58314.66</v>
      </c>
      <c r="FG50" s="392">
        <v>55521.930000000008</v>
      </c>
      <c r="FH50" s="392">
        <v>56462.411999999997</v>
      </c>
      <c r="FI50" s="392">
        <v>55939.074000000001</v>
      </c>
      <c r="FJ50" s="392">
        <v>55530.03</v>
      </c>
      <c r="FK50" s="392">
        <v>58356.833999999995</v>
      </c>
      <c r="FL50" s="392">
        <v>56124.114000000001</v>
      </c>
      <c r="FM50" s="392">
        <v>51734.94</v>
      </c>
      <c r="FN50" s="392">
        <v>50709.228000000003</v>
      </c>
      <c r="FO50" s="392">
        <v>49371.288</v>
      </c>
      <c r="FP50" s="392">
        <v>53023.47</v>
      </c>
      <c r="FQ50" s="392">
        <v>49411.224000000002</v>
      </c>
      <c r="FR50" s="392">
        <v>49301.148000000001</v>
      </c>
      <c r="FS50" s="392">
        <v>48915.474000000002</v>
      </c>
      <c r="FT50" s="392">
        <v>49670.268000000004</v>
      </c>
      <c r="FU50" s="392">
        <v>49301.501999999993</v>
      </c>
      <c r="FV50" s="392">
        <v>49063.908000000003</v>
      </c>
      <c r="FW50" s="392">
        <v>48067.385999999999</v>
      </c>
      <c r="FX50" s="392">
        <v>46605.377999999997</v>
      </c>
      <c r="FY50" s="392">
        <v>45067.644</v>
      </c>
      <c r="FZ50" s="392">
        <v>43460.525999999998</v>
      </c>
      <c r="GA50" s="392">
        <v>43444.572</v>
      </c>
      <c r="GB50" s="392">
        <v>43369.11</v>
      </c>
      <c r="GC50" s="392">
        <v>42206.544000000002</v>
      </c>
      <c r="GD50" s="392">
        <v>44800.272000000004</v>
      </c>
      <c r="GE50" s="392">
        <v>41986.080000000002</v>
      </c>
      <c r="GF50" s="392">
        <v>44285.502</v>
      </c>
      <c r="GG50" s="392">
        <v>44169.81</v>
      </c>
      <c r="GH50" s="392">
        <v>40752.21</v>
      </c>
      <c r="GI50" s="392">
        <v>41654.495999999999</v>
      </c>
      <c r="GJ50" s="392">
        <v>43584.3</v>
      </c>
      <c r="GK50" s="392">
        <v>39569.675999999999</v>
      </c>
      <c r="GL50" s="392">
        <v>40746.161999999997</v>
      </c>
      <c r="GM50" s="392">
        <v>41011.32</v>
      </c>
      <c r="GN50" s="392">
        <v>41797.368000000002</v>
      </c>
      <c r="GO50" s="392">
        <v>41311.175999999999</v>
      </c>
      <c r="GP50" s="392">
        <v>43491.233999999997</v>
      </c>
      <c r="GQ50" s="392">
        <v>41093.736000000004</v>
      </c>
      <c r="GR50" s="392">
        <v>43100.957999999999</v>
      </c>
      <c r="GS50" s="392">
        <v>42710.64</v>
      </c>
      <c r="GT50" s="392">
        <v>41575.158000000003</v>
      </c>
      <c r="GU50" s="392">
        <v>42853.11</v>
      </c>
      <c r="GV50" s="392">
        <v>42955.236000000004</v>
      </c>
      <c r="GW50" s="392">
        <v>39292.547999999995</v>
      </c>
      <c r="GX50" s="392">
        <v>39752.25</v>
      </c>
      <c r="GY50" s="392">
        <v>40519.506000000001</v>
      </c>
      <c r="GZ50" s="392">
        <v>43407.983999999997</v>
      </c>
      <c r="HA50" s="392">
        <v>41939.567999999999</v>
      </c>
      <c r="HB50" s="392">
        <v>44236.284</v>
      </c>
      <c r="HC50" s="392">
        <v>42076.445999999996</v>
      </c>
      <c r="HD50" s="392">
        <v>45354.966</v>
      </c>
      <c r="HE50" s="392">
        <v>45286.656000000003</v>
      </c>
      <c r="HF50" s="392">
        <v>43216.686000000002</v>
      </c>
      <c r="HG50" s="392">
        <v>46063.061999999998</v>
      </c>
      <c r="HH50" s="392">
        <v>45947.682000000001</v>
      </c>
      <c r="HI50" s="392">
        <v>42451.74</v>
      </c>
      <c r="HJ50" s="392">
        <v>44176.68</v>
      </c>
      <c r="HK50" s="392">
        <v>42969.006000000001</v>
      </c>
      <c r="HL50" s="392">
        <v>44677.205999999998</v>
      </c>
      <c r="HM50" s="392">
        <v>45926.43</v>
      </c>
      <c r="HN50" s="392">
        <v>49067.921999999999</v>
      </c>
      <c r="HO50" s="392">
        <v>46250.13</v>
      </c>
      <c r="HP50" s="444">
        <v>51952.385999999999</v>
      </c>
      <c r="HQ50" s="444">
        <v>50919.642</v>
      </c>
      <c r="HR50" s="444">
        <v>49545.467999999993</v>
      </c>
      <c r="HS50" s="444">
        <v>52195.025999999998</v>
      </c>
      <c r="HT50" s="444">
        <v>52082.724000000002</v>
      </c>
      <c r="HU50" s="444">
        <v>47533.824000000001</v>
      </c>
      <c r="HV50" s="392">
        <v>50037.258000000002</v>
      </c>
      <c r="HW50" s="392">
        <v>52317.894</v>
      </c>
      <c r="HX50" s="392">
        <v>54609.432000000001</v>
      </c>
      <c r="HY50" s="392">
        <v>53249.31</v>
      </c>
      <c r="HZ50" s="392">
        <v>56492.333999999995</v>
      </c>
      <c r="IA50" s="392">
        <v>56917.601999999999</v>
      </c>
      <c r="IB50" s="392">
        <v>59846.478000000003</v>
      </c>
      <c r="IC50" s="392">
        <v>60949.524000000005</v>
      </c>
      <c r="ID50" s="392">
        <v>60288.617999999995</v>
      </c>
      <c r="IE50" s="392">
        <v>60988.055999999997</v>
      </c>
      <c r="IF50" s="392">
        <v>62997.168000000005</v>
      </c>
      <c r="IG50" s="392">
        <v>55408.146000000008</v>
      </c>
      <c r="IH50" s="392">
        <v>57674.316000000006</v>
      </c>
      <c r="II50" s="392">
        <v>56253.336000000003</v>
      </c>
      <c r="IJ50" s="392">
        <v>65225.651999999995</v>
      </c>
      <c r="IK50" s="392">
        <v>60874.745999999999</v>
      </c>
      <c r="IL50" s="392">
        <v>62690.19</v>
      </c>
      <c r="IM50" s="392">
        <v>62664.606</v>
      </c>
      <c r="IN50" s="444">
        <v>60557.490000000005</v>
      </c>
      <c r="IO50" s="444">
        <v>64158.197999999997</v>
      </c>
      <c r="IP50" s="444">
        <v>62399.598000000005</v>
      </c>
      <c r="IQ50" s="444">
        <v>62098.775999999998</v>
      </c>
      <c r="IR50" s="444">
        <v>62254.817999999999</v>
      </c>
      <c r="IS50" s="444">
        <v>54675.372000000003</v>
      </c>
      <c r="IT50" s="444">
        <v>55152.018000000004</v>
      </c>
      <c r="IU50" s="444">
        <v>55996.680000000008</v>
      </c>
      <c r="IV50" s="444">
        <v>58746.588000000003</v>
      </c>
      <c r="IW50" s="445">
        <v>60218.66</v>
      </c>
      <c r="IX50" s="445">
        <v>63189.161999999997</v>
      </c>
      <c r="IY50" s="445">
        <v>61051.158000000003</v>
      </c>
      <c r="IZ50" s="445">
        <v>59999.273999999998</v>
      </c>
      <c r="JA50" s="445">
        <v>60571.482000000004</v>
      </c>
      <c r="JB50" s="445">
        <v>62324.631999999998</v>
      </c>
      <c r="JC50" s="445">
        <v>60364</v>
      </c>
      <c r="JD50" s="445">
        <v>62807.423999999999</v>
      </c>
      <c r="JE50" s="446">
        <v>66305.203999999998</v>
      </c>
    </row>
    <row r="51" spans="1:669" x14ac:dyDescent="0.3">
      <c r="A51" s="394" t="s">
        <v>89</v>
      </c>
      <c r="B51" s="395">
        <v>414.48</v>
      </c>
      <c r="C51" s="395">
        <v>438.24</v>
      </c>
      <c r="D51" s="395">
        <v>604.596</v>
      </c>
      <c r="E51" s="395">
        <v>508.42199999999997</v>
      </c>
      <c r="F51" s="395">
        <v>571.87800000000004</v>
      </c>
      <c r="G51" s="395">
        <v>721.41600000000005</v>
      </c>
      <c r="H51" s="395">
        <v>611.23199999999997</v>
      </c>
      <c r="I51" s="395">
        <v>766.68000000000006</v>
      </c>
      <c r="J51" s="395">
        <v>1117.086</v>
      </c>
      <c r="K51" s="395">
        <v>1047.402</v>
      </c>
      <c r="L51" s="395">
        <v>1092.402</v>
      </c>
      <c r="M51" s="395">
        <v>907.33200000000011</v>
      </c>
      <c r="N51" s="395">
        <v>1006.038</v>
      </c>
      <c r="O51" s="395">
        <v>837.06</v>
      </c>
      <c r="P51" s="395">
        <v>821.19600000000014</v>
      </c>
      <c r="Q51" s="395">
        <v>699.33600000000001</v>
      </c>
      <c r="R51" s="395">
        <v>690.76199999999994</v>
      </c>
      <c r="S51" s="395">
        <v>804.51600000000008</v>
      </c>
      <c r="T51" s="395">
        <v>646.64400000000001</v>
      </c>
      <c r="U51" s="395">
        <v>627.60599999999999</v>
      </c>
      <c r="V51" s="395">
        <v>710.97</v>
      </c>
      <c r="W51" s="395">
        <v>624.64800000000002</v>
      </c>
      <c r="X51" s="395">
        <v>553.94399999999996</v>
      </c>
      <c r="Y51" s="395">
        <v>488.928</v>
      </c>
      <c r="Z51" s="395">
        <v>486.55200000000002</v>
      </c>
      <c r="AA51" s="395">
        <v>518.58600000000001</v>
      </c>
      <c r="AB51" s="395">
        <v>630.49800000000005</v>
      </c>
      <c r="AC51" s="395">
        <v>522.17399999999998</v>
      </c>
      <c r="AD51" s="395">
        <v>576.83399999999995</v>
      </c>
      <c r="AE51" s="395">
        <v>677.84999999999991</v>
      </c>
      <c r="AF51" s="395">
        <v>615</v>
      </c>
      <c r="AG51" s="395">
        <v>615.19799999999998</v>
      </c>
      <c r="AH51" s="395">
        <v>712.84199999999998</v>
      </c>
      <c r="AI51" s="395">
        <v>630.61799999999994</v>
      </c>
      <c r="AJ51" s="395">
        <v>589.29</v>
      </c>
      <c r="AK51" s="395">
        <v>666.2940000000001</v>
      </c>
      <c r="AL51" s="395">
        <v>549.24599999999998</v>
      </c>
      <c r="AM51" s="395">
        <v>612.75600000000009</v>
      </c>
      <c r="AN51" s="395">
        <v>752.76599999999996</v>
      </c>
      <c r="AO51" s="395">
        <v>601.86</v>
      </c>
      <c r="AP51" s="395">
        <v>658.86</v>
      </c>
      <c r="AQ51" s="395">
        <v>723.98400000000004</v>
      </c>
      <c r="AR51" s="395">
        <v>640.29</v>
      </c>
      <c r="AS51" s="395">
        <v>627.15599999999995</v>
      </c>
      <c r="AT51" s="395">
        <v>623.89800000000002</v>
      </c>
      <c r="AU51" s="395">
        <v>583.91399999999999</v>
      </c>
      <c r="AV51" s="395">
        <v>615.19799999999998</v>
      </c>
      <c r="AW51" s="395">
        <v>732.39</v>
      </c>
      <c r="AX51" s="395">
        <v>618.22199999999998</v>
      </c>
      <c r="AY51" s="395">
        <v>697.596</v>
      </c>
      <c r="AZ51" s="395">
        <v>876.69600000000014</v>
      </c>
      <c r="BA51" s="395">
        <v>707.77200000000005</v>
      </c>
      <c r="BB51" s="395">
        <v>859.86</v>
      </c>
      <c r="BC51" s="395">
        <v>866.72400000000005</v>
      </c>
      <c r="BD51" s="395">
        <v>708.01199999999994</v>
      </c>
      <c r="BE51" s="395">
        <v>716.28600000000006</v>
      </c>
      <c r="BF51" s="395">
        <v>773.16599999999994</v>
      </c>
      <c r="BG51" s="395">
        <v>759.58799999999997</v>
      </c>
      <c r="BH51" s="395">
        <v>771.58800000000008</v>
      </c>
      <c r="BI51" s="395">
        <v>770.37599999999998</v>
      </c>
      <c r="BJ51" s="395">
        <v>632.76</v>
      </c>
      <c r="BK51" s="395">
        <v>675.78</v>
      </c>
      <c r="BL51" s="395">
        <v>753.06000000000006</v>
      </c>
      <c r="BM51" s="395">
        <v>598.83000000000004</v>
      </c>
      <c r="BN51" s="395">
        <v>585.01800000000003</v>
      </c>
      <c r="BO51" s="395">
        <v>711.19200000000001</v>
      </c>
      <c r="BP51" s="395">
        <v>536.04599999999994</v>
      </c>
      <c r="BQ51" s="395">
        <v>503.75400000000002</v>
      </c>
      <c r="BR51" s="395">
        <v>551.35199999999998</v>
      </c>
      <c r="BS51" s="395">
        <v>444.80399999999997</v>
      </c>
      <c r="BT51" s="395">
        <v>445.05600000000004</v>
      </c>
      <c r="BU51" s="395">
        <v>492.31799999999998</v>
      </c>
      <c r="BV51" s="395">
        <v>436.26</v>
      </c>
      <c r="BW51" s="395">
        <v>448.95000000000005</v>
      </c>
      <c r="BX51" s="395">
        <v>337.33799999999997</v>
      </c>
      <c r="BY51" s="395">
        <v>351.714</v>
      </c>
      <c r="BZ51" s="395">
        <v>436.34999999999997</v>
      </c>
      <c r="CA51" s="395">
        <v>576.52800000000002</v>
      </c>
      <c r="CB51" s="395">
        <v>517.14</v>
      </c>
      <c r="CC51" s="395">
        <v>364.392</v>
      </c>
      <c r="CD51" s="395">
        <v>609.24599999999998</v>
      </c>
      <c r="CE51" s="395">
        <v>500.95799999999997</v>
      </c>
      <c r="CF51" s="395">
        <v>667.39200000000005</v>
      </c>
      <c r="CG51" s="395">
        <v>611.95799999999997</v>
      </c>
      <c r="CH51" s="395">
        <v>500.89800000000002</v>
      </c>
      <c r="CI51" s="395">
        <v>566.47799999999995</v>
      </c>
      <c r="CJ51" s="395">
        <v>653.70000000000005</v>
      </c>
      <c r="CK51" s="395">
        <v>515.79599999999994</v>
      </c>
      <c r="CL51" s="395">
        <v>546.25800000000004</v>
      </c>
      <c r="CM51" s="395">
        <v>659.74199999999996</v>
      </c>
      <c r="CN51" s="395">
        <v>521.25</v>
      </c>
      <c r="CO51" s="395">
        <v>531.62400000000002</v>
      </c>
      <c r="CP51" s="395">
        <v>633.96600000000001</v>
      </c>
      <c r="CQ51" s="395">
        <v>538.428</v>
      </c>
      <c r="CR51" s="395">
        <v>553.38599999999997</v>
      </c>
      <c r="CS51" s="395">
        <v>506.81399999999996</v>
      </c>
      <c r="CT51" s="395">
        <v>262.96800000000002</v>
      </c>
      <c r="CU51" s="395">
        <v>264.27</v>
      </c>
      <c r="CV51" s="395">
        <v>339.70800000000003</v>
      </c>
      <c r="CW51" s="395">
        <v>283.68599999999998</v>
      </c>
      <c r="CX51" s="395">
        <v>276.10200000000003</v>
      </c>
      <c r="CY51" s="395">
        <v>304.01400000000001</v>
      </c>
      <c r="CZ51" s="395">
        <v>239.21999999999997</v>
      </c>
      <c r="DA51" s="395">
        <v>229.81200000000001</v>
      </c>
      <c r="DB51" s="395">
        <v>285.702</v>
      </c>
      <c r="DC51" s="395">
        <v>235.44</v>
      </c>
      <c r="DD51" s="395">
        <v>271.09800000000001</v>
      </c>
      <c r="DE51" s="395">
        <v>322.97399999999999</v>
      </c>
      <c r="DF51" s="395">
        <v>318.798</v>
      </c>
      <c r="DG51" s="395">
        <v>373.38600000000002</v>
      </c>
      <c r="DH51" s="395">
        <v>468.00600000000003</v>
      </c>
      <c r="DI51" s="395">
        <v>463.84800000000007</v>
      </c>
      <c r="DJ51" s="395">
        <v>483.46199999999999</v>
      </c>
      <c r="DK51" s="395">
        <v>611.202</v>
      </c>
      <c r="DL51" s="395">
        <v>615.84</v>
      </c>
      <c r="DM51" s="395">
        <v>686.92200000000003</v>
      </c>
      <c r="DN51" s="395">
        <v>619.58399999999995</v>
      </c>
      <c r="DO51" s="395">
        <v>496.20000000000005</v>
      </c>
      <c r="DP51" s="395">
        <v>468.81000000000006</v>
      </c>
      <c r="DQ51" s="395">
        <v>494.77799999999996</v>
      </c>
      <c r="DR51" s="395">
        <v>421.65599999999995</v>
      </c>
      <c r="DS51" s="395">
        <v>465.54</v>
      </c>
      <c r="DT51" s="395">
        <v>577.69200000000001</v>
      </c>
      <c r="DU51" s="395">
        <v>556.08000000000004</v>
      </c>
      <c r="DV51" s="395">
        <v>618.31200000000001</v>
      </c>
      <c r="DW51" s="395">
        <v>749.07600000000002</v>
      </c>
      <c r="DX51" s="395">
        <v>736.76400000000001</v>
      </c>
      <c r="DY51" s="395">
        <v>722.58</v>
      </c>
      <c r="DZ51" s="395">
        <v>801.61200000000008</v>
      </c>
      <c r="EA51" s="395">
        <v>778.41599999999994</v>
      </c>
      <c r="EB51" s="395">
        <v>803.72400000000005</v>
      </c>
      <c r="EC51" s="395">
        <v>834.76799999999992</v>
      </c>
      <c r="ED51" s="395">
        <v>845.10599999999999</v>
      </c>
      <c r="EE51" s="395">
        <v>785.33999999999992</v>
      </c>
      <c r="EF51" s="395">
        <v>848.35199999999998</v>
      </c>
      <c r="EG51" s="395">
        <v>802.64400000000001</v>
      </c>
      <c r="EH51" s="395">
        <v>873.41399999999999</v>
      </c>
      <c r="EI51" s="395">
        <v>835.51799999999992</v>
      </c>
      <c r="EJ51" s="395">
        <v>695.56799999999998</v>
      </c>
      <c r="EK51" s="395">
        <v>490.78800000000001</v>
      </c>
      <c r="EL51" s="395">
        <v>562.0440000000001</v>
      </c>
      <c r="EM51" s="395">
        <v>482.66399999999999</v>
      </c>
      <c r="EN51" s="395">
        <v>465.37199999999996</v>
      </c>
      <c r="EO51" s="395">
        <v>489.66600000000005</v>
      </c>
      <c r="EP51" s="395">
        <v>464.77799999999996</v>
      </c>
      <c r="EQ51" s="395">
        <v>481.00800000000004</v>
      </c>
      <c r="ER51" s="395">
        <v>540.54599999999994</v>
      </c>
      <c r="ES51" s="395">
        <v>441.07800000000003</v>
      </c>
      <c r="ET51" s="395">
        <v>404.26199999999994</v>
      </c>
      <c r="EU51" s="395">
        <v>453.41999999999996</v>
      </c>
      <c r="EV51" s="395">
        <v>416.892</v>
      </c>
      <c r="EW51" s="395">
        <v>418.04999999999995</v>
      </c>
      <c r="EX51" s="395">
        <v>434.892</v>
      </c>
      <c r="EY51" s="395">
        <v>414.94799999999998</v>
      </c>
      <c r="EZ51" s="395">
        <v>412.90199999999993</v>
      </c>
      <c r="FA51" s="395">
        <v>393.87599999999998</v>
      </c>
      <c r="FB51" s="395">
        <v>403.09199999999998</v>
      </c>
      <c r="FC51" s="395">
        <v>412.06799999999998</v>
      </c>
      <c r="FD51" s="395">
        <v>403.77600000000007</v>
      </c>
      <c r="FE51" s="395">
        <v>421.43999999999994</v>
      </c>
      <c r="FF51" s="395">
        <v>439.24199999999996</v>
      </c>
      <c r="FG51" s="395">
        <v>408.00600000000003</v>
      </c>
      <c r="FH51" s="395">
        <v>427.09199999999998</v>
      </c>
      <c r="FI51" s="395">
        <v>404.43</v>
      </c>
      <c r="FJ51" s="395">
        <v>392.04</v>
      </c>
      <c r="FK51" s="395">
        <v>432.41399999999999</v>
      </c>
      <c r="FL51" s="395">
        <v>424.26599999999996</v>
      </c>
      <c r="FM51" s="395">
        <v>398.64600000000002</v>
      </c>
      <c r="FN51" s="395">
        <v>359.02800000000002</v>
      </c>
      <c r="FO51" s="395">
        <v>397.77600000000007</v>
      </c>
      <c r="FP51" s="395">
        <v>417.67199999999997</v>
      </c>
      <c r="FQ51" s="395">
        <v>378.63</v>
      </c>
      <c r="FR51" s="395">
        <v>366.11399999999998</v>
      </c>
      <c r="FS51" s="395">
        <v>362.20800000000003</v>
      </c>
      <c r="FT51" s="395">
        <v>367.34399999999999</v>
      </c>
      <c r="FU51" s="395">
        <v>380.154</v>
      </c>
      <c r="FV51" s="395">
        <v>375.91800000000001</v>
      </c>
      <c r="FW51" s="395">
        <v>398.13</v>
      </c>
      <c r="FX51" s="395">
        <v>440.02799999999996</v>
      </c>
      <c r="FY51" s="395">
        <v>341.63400000000001</v>
      </c>
      <c r="FZ51" s="395">
        <v>342.26400000000001</v>
      </c>
      <c r="GA51" s="395">
        <v>464.30399999999997</v>
      </c>
      <c r="GB51" s="395">
        <v>568.37400000000002</v>
      </c>
      <c r="GC51" s="395">
        <v>572.41200000000003</v>
      </c>
      <c r="GD51" s="395">
        <v>613.39200000000005</v>
      </c>
      <c r="GE51" s="395">
        <v>643.91399999999999</v>
      </c>
      <c r="GF51" s="395">
        <v>750.62400000000002</v>
      </c>
      <c r="GG51" s="395">
        <v>862.32600000000002</v>
      </c>
      <c r="GH51" s="395">
        <v>813.21</v>
      </c>
      <c r="GI51" s="395">
        <v>840.05399999999986</v>
      </c>
      <c r="GJ51" s="395">
        <v>844.09799999999996</v>
      </c>
      <c r="GK51" s="395">
        <v>838.33200000000011</v>
      </c>
      <c r="GL51" s="395">
        <v>907.24800000000005</v>
      </c>
      <c r="GM51" s="395">
        <v>985.98599999999988</v>
      </c>
      <c r="GN51" s="395">
        <v>1301.364</v>
      </c>
      <c r="GO51" s="395">
        <v>1633.2360000000001</v>
      </c>
      <c r="GP51" s="395">
        <v>1777.2240000000002</v>
      </c>
      <c r="GQ51" s="395">
        <v>1695.492</v>
      </c>
      <c r="GR51" s="395">
        <v>1964.7240000000002</v>
      </c>
      <c r="GS51" s="395">
        <v>2045.328</v>
      </c>
      <c r="GT51" s="395">
        <v>2124.66</v>
      </c>
      <c r="GU51" s="395">
        <v>2275.5299999999997</v>
      </c>
      <c r="GV51" s="395">
        <v>2663.7240000000002</v>
      </c>
      <c r="GW51" s="395">
        <v>2629.1579999999999</v>
      </c>
      <c r="GX51" s="395">
        <v>3262.098</v>
      </c>
      <c r="GY51" s="395">
        <v>3647.0879999999997</v>
      </c>
      <c r="GZ51" s="395">
        <v>4631.0280000000002</v>
      </c>
      <c r="HA51" s="395">
        <v>4641.6479999999992</v>
      </c>
      <c r="HB51" s="395">
        <v>5079.6479999999992</v>
      </c>
      <c r="HC51" s="395">
        <v>4874.8919999999998</v>
      </c>
      <c r="HD51" s="395">
        <v>4686.1440000000002</v>
      </c>
      <c r="HE51" s="395">
        <v>4331.1540000000005</v>
      </c>
      <c r="HF51" s="395">
        <v>4341.5039999999999</v>
      </c>
      <c r="HG51" s="395">
        <v>5046.99</v>
      </c>
      <c r="HH51" s="395">
        <v>5015.0219999999999</v>
      </c>
      <c r="HI51" s="395">
        <v>4447.7880000000005</v>
      </c>
      <c r="HJ51" s="395">
        <v>4547.8979999999992</v>
      </c>
      <c r="HK51" s="395">
        <v>5033.5380000000005</v>
      </c>
      <c r="HL51" s="395">
        <v>5150.97</v>
      </c>
      <c r="HM51" s="395">
        <v>5031.6540000000005</v>
      </c>
      <c r="HN51" s="395">
        <v>5493.39</v>
      </c>
      <c r="HO51" s="395">
        <v>5138.3220000000001</v>
      </c>
      <c r="HP51" s="395">
        <v>4799.4359999999997</v>
      </c>
      <c r="HQ51" s="395">
        <v>4096.1819999999998</v>
      </c>
      <c r="HR51" s="395">
        <v>3217.8720000000003</v>
      </c>
      <c r="HS51" s="395">
        <v>2995.3679999999999</v>
      </c>
      <c r="HT51" s="395">
        <v>2374.11</v>
      </c>
      <c r="HU51" s="395">
        <v>1919.4659999999999</v>
      </c>
      <c r="HV51" s="395">
        <v>1798.5240000000001</v>
      </c>
      <c r="HW51" s="395">
        <v>1799.8139999999999</v>
      </c>
      <c r="HX51" s="395">
        <v>1947.8880000000001</v>
      </c>
      <c r="HY51" s="395">
        <v>1944.492</v>
      </c>
      <c r="HZ51" s="395">
        <v>1981.998</v>
      </c>
      <c r="IA51" s="395">
        <v>1878.4260000000002</v>
      </c>
      <c r="IB51" s="395">
        <v>1799.2259999999999</v>
      </c>
      <c r="IC51" s="395">
        <v>1766.2080000000001</v>
      </c>
      <c r="ID51" s="395">
        <v>1796.442</v>
      </c>
      <c r="IE51" s="395">
        <v>1887.9780000000001</v>
      </c>
      <c r="IF51" s="395">
        <v>1592.8019999999999</v>
      </c>
      <c r="IG51" s="395">
        <v>1570.3139999999999</v>
      </c>
      <c r="IH51" s="395">
        <v>1558.242</v>
      </c>
      <c r="II51" s="395">
        <v>1639.5120000000002</v>
      </c>
      <c r="IJ51" s="395">
        <v>1962.1260000000002</v>
      </c>
      <c r="IK51" s="395">
        <v>1972.116</v>
      </c>
      <c r="IL51" s="395">
        <v>2177.9160000000002</v>
      </c>
      <c r="IM51" s="395">
        <v>2432.0880000000002</v>
      </c>
      <c r="IN51" s="15">
        <v>2632.212</v>
      </c>
      <c r="IO51" s="15">
        <v>2898.846</v>
      </c>
      <c r="IP51" s="15">
        <v>2975.1480000000001</v>
      </c>
      <c r="IQ51" s="15">
        <v>3298.1639999999998</v>
      </c>
      <c r="IR51" s="15">
        <v>3379.098</v>
      </c>
      <c r="IS51" s="15">
        <v>3237.5460000000003</v>
      </c>
      <c r="IT51" s="15">
        <v>3532.9979999999996</v>
      </c>
      <c r="IU51" s="15">
        <v>4035.9780000000001</v>
      </c>
      <c r="IV51" s="15">
        <v>4491.0240000000003</v>
      </c>
      <c r="IW51" s="15">
        <v>5041.9179999999997</v>
      </c>
      <c r="IX51" s="15">
        <v>6403.3119999999999</v>
      </c>
      <c r="IY51" s="15">
        <v>7654.4260000000004</v>
      </c>
      <c r="IZ51" s="15">
        <v>8621.57</v>
      </c>
      <c r="JA51" s="15">
        <v>9688.0759999999991</v>
      </c>
      <c r="JB51" s="15">
        <v>10722.33</v>
      </c>
      <c r="JC51" s="15">
        <v>11377.234</v>
      </c>
      <c r="JD51" s="15">
        <v>11708.864</v>
      </c>
      <c r="JE51" s="447">
        <v>11735.78</v>
      </c>
    </row>
    <row r="52" spans="1:669" x14ac:dyDescent="0.3">
      <c r="A52" s="394" t="s">
        <v>90</v>
      </c>
      <c r="B52" s="392">
        <v>2478.2280000000001</v>
      </c>
      <c r="C52" s="392">
        <v>2170.134</v>
      </c>
      <c r="D52" s="392">
        <v>2196.558</v>
      </c>
      <c r="E52" s="392">
        <v>2163.672</v>
      </c>
      <c r="F52" s="392">
        <v>2501.2020000000002</v>
      </c>
      <c r="G52" s="392">
        <v>2552.904</v>
      </c>
      <c r="H52" s="392">
        <v>2441.6640000000002</v>
      </c>
      <c r="I52" s="392">
        <v>2362.3380000000002</v>
      </c>
      <c r="J52" s="392">
        <v>2086.5540000000001</v>
      </c>
      <c r="K52" s="392">
        <v>2357.9879999999998</v>
      </c>
      <c r="L52" s="392">
        <v>2337.096</v>
      </c>
      <c r="M52" s="392">
        <v>2517.6059999999998</v>
      </c>
      <c r="N52" s="392">
        <v>2011.6019999999999</v>
      </c>
      <c r="O52" s="392">
        <v>2191.7460000000001</v>
      </c>
      <c r="P52" s="392">
        <v>2622.4140000000002</v>
      </c>
      <c r="Q52" s="392">
        <v>2945.4059999999999</v>
      </c>
      <c r="R52" s="392">
        <v>2302.2660000000001</v>
      </c>
      <c r="S52" s="392">
        <v>2046.096</v>
      </c>
      <c r="T52" s="392">
        <v>1955.9459999999999</v>
      </c>
      <c r="U52" s="392">
        <v>1951.6619999999998</v>
      </c>
      <c r="V52" s="392">
        <v>2246.7780000000002</v>
      </c>
      <c r="W52" s="392">
        <v>1960.5120000000002</v>
      </c>
      <c r="X52" s="392">
        <v>2004.5940000000001</v>
      </c>
      <c r="Y52" s="392">
        <v>2000.5259999999998</v>
      </c>
      <c r="Z52" s="392">
        <v>1901.94</v>
      </c>
      <c r="AA52" s="392">
        <v>2073.4920000000002</v>
      </c>
      <c r="AB52" s="392">
        <v>2326.89</v>
      </c>
      <c r="AC52" s="392">
        <v>2093.0099999999998</v>
      </c>
      <c r="AD52" s="392">
        <v>1991.4839999999999</v>
      </c>
      <c r="AE52" s="392">
        <v>1970.748</v>
      </c>
      <c r="AF52" s="392">
        <v>2208.9719999999998</v>
      </c>
      <c r="AG52" s="392">
        <v>2290.7280000000001</v>
      </c>
      <c r="AH52" s="392">
        <v>2061.0720000000001</v>
      </c>
      <c r="AI52" s="392">
        <v>2395.3739999999998</v>
      </c>
      <c r="AJ52" s="392">
        <v>2170.3500000000004</v>
      </c>
      <c r="AK52" s="392">
        <v>2135.6640000000002</v>
      </c>
      <c r="AL52" s="392">
        <v>2468.5920000000001</v>
      </c>
      <c r="AM52" s="392">
        <v>2625.2640000000001</v>
      </c>
      <c r="AN52" s="392">
        <v>2511.9360000000001</v>
      </c>
      <c r="AO52" s="392">
        <v>2268.21</v>
      </c>
      <c r="AP52" s="392">
        <v>2308.59</v>
      </c>
      <c r="AQ52" s="392">
        <v>1829.0519999999999</v>
      </c>
      <c r="AR52" s="392">
        <v>2578.002</v>
      </c>
      <c r="AS52" s="392">
        <v>2360.7660000000001</v>
      </c>
      <c r="AT52" s="392">
        <v>2100.2939999999999</v>
      </c>
      <c r="AU52" s="392">
        <v>2307.6660000000002</v>
      </c>
      <c r="AV52" s="392">
        <v>2125.308</v>
      </c>
      <c r="AW52" s="392">
        <v>2272.9140000000002</v>
      </c>
      <c r="AX52" s="392">
        <v>1872.444</v>
      </c>
      <c r="AY52" s="392">
        <v>2062.6499999999996</v>
      </c>
      <c r="AZ52" s="392">
        <v>2216.4659999999999</v>
      </c>
      <c r="BA52" s="392">
        <v>2227.6260000000002</v>
      </c>
      <c r="BB52" s="392">
        <v>2114.2740000000003</v>
      </c>
      <c r="BC52" s="392">
        <v>2290.1579999999999</v>
      </c>
      <c r="BD52" s="392">
        <v>2395.2539999999999</v>
      </c>
      <c r="BE52" s="392">
        <v>2553.27</v>
      </c>
      <c r="BF52" s="392">
        <v>2133.462</v>
      </c>
      <c r="BG52" s="392">
        <v>2260.4279999999999</v>
      </c>
      <c r="BH52" s="392">
        <v>2397.9059999999999</v>
      </c>
      <c r="BI52" s="392">
        <v>2335.8420000000001</v>
      </c>
      <c r="BJ52" s="392">
        <v>2439.174</v>
      </c>
      <c r="BK52" s="392">
        <v>2585.268</v>
      </c>
      <c r="BL52" s="392">
        <v>2602.77</v>
      </c>
      <c r="BM52" s="392">
        <v>2727.2579999999998</v>
      </c>
      <c r="BN52" s="392">
        <v>2710.2539999999999</v>
      </c>
      <c r="BO52" s="392">
        <v>2446.134</v>
      </c>
      <c r="BP52" s="392">
        <v>2468.6999999999998</v>
      </c>
      <c r="BQ52" s="392">
        <v>2500.14</v>
      </c>
      <c r="BR52" s="392">
        <v>2342.31</v>
      </c>
      <c r="BS52" s="392">
        <v>2281.5120000000002</v>
      </c>
      <c r="BT52" s="392">
        <v>2352.7799999999997</v>
      </c>
      <c r="BU52" s="392">
        <v>2264.64</v>
      </c>
      <c r="BV52" s="392">
        <v>2549.3519999999999</v>
      </c>
      <c r="BW52" s="392">
        <v>2408.0880000000002</v>
      </c>
      <c r="BX52" s="392">
        <v>2519.7660000000001</v>
      </c>
      <c r="BY52" s="392">
        <v>2430.5519999999997</v>
      </c>
      <c r="BZ52" s="392">
        <v>2348.9459999999999</v>
      </c>
      <c r="CA52" s="392">
        <v>2763.6480000000001</v>
      </c>
      <c r="CB52" s="392">
        <v>2516.5439999999999</v>
      </c>
      <c r="CC52" s="392">
        <v>2137.0619999999999</v>
      </c>
      <c r="CD52" s="392">
        <v>2200.2539999999999</v>
      </c>
      <c r="CE52" s="392">
        <v>2264.9580000000001</v>
      </c>
      <c r="CF52" s="392">
        <v>2503.0320000000002</v>
      </c>
      <c r="CG52" s="392">
        <v>2302.2179999999998</v>
      </c>
      <c r="CH52" s="392">
        <v>2395.788</v>
      </c>
      <c r="CI52" s="392">
        <v>2736.654</v>
      </c>
      <c r="CJ52" s="392">
        <v>2340.1680000000001</v>
      </c>
      <c r="CK52" s="392">
        <v>2334.6000000000004</v>
      </c>
      <c r="CL52" s="392">
        <v>2246.0219999999999</v>
      </c>
      <c r="CM52" s="392">
        <v>2253.5039999999999</v>
      </c>
      <c r="CN52" s="392">
        <v>2227.2179999999998</v>
      </c>
      <c r="CO52" s="392">
        <v>2041.2179999999998</v>
      </c>
      <c r="CP52" s="392">
        <v>2092.6619999999998</v>
      </c>
      <c r="CQ52" s="392">
        <v>2262.4140000000002</v>
      </c>
      <c r="CR52" s="392">
        <v>2247.8519999999999</v>
      </c>
      <c r="CS52" s="392">
        <v>2324.922</v>
      </c>
      <c r="CT52" s="392">
        <v>2094.9299999999998</v>
      </c>
      <c r="CU52" s="392">
        <v>2144.1480000000001</v>
      </c>
      <c r="CV52" s="392">
        <v>2267.2200000000003</v>
      </c>
      <c r="CW52" s="392">
        <v>2349.84</v>
      </c>
      <c r="CX52" s="392">
        <v>2083.7400000000002</v>
      </c>
      <c r="CY52" s="392">
        <v>1942.9499999999998</v>
      </c>
      <c r="CZ52" s="392">
        <v>1850.7539999999999</v>
      </c>
      <c r="DA52" s="392">
        <v>1627.2060000000001</v>
      </c>
      <c r="DB52" s="392">
        <v>1651.38</v>
      </c>
      <c r="DC52" s="392">
        <v>1675.674</v>
      </c>
      <c r="DD52" s="392">
        <v>1575.06</v>
      </c>
      <c r="DE52" s="392">
        <v>1634.4659999999999</v>
      </c>
      <c r="DF52" s="392">
        <v>1512.288</v>
      </c>
      <c r="DG52" s="392">
        <v>1558.752</v>
      </c>
      <c r="DH52" s="392">
        <v>1662.9119999999998</v>
      </c>
      <c r="DI52" s="392">
        <v>1536.558</v>
      </c>
      <c r="DJ52" s="392">
        <v>1543.4759999999999</v>
      </c>
      <c r="DK52" s="392">
        <v>1449.1019999999999</v>
      </c>
      <c r="DL52" s="392">
        <v>1268.124</v>
      </c>
      <c r="DM52" s="392">
        <v>1254.6600000000001</v>
      </c>
      <c r="DN52" s="392">
        <v>1229.538</v>
      </c>
      <c r="DO52" s="392">
        <v>1280.2260000000001</v>
      </c>
      <c r="DP52" s="392">
        <v>1803.5639999999999</v>
      </c>
      <c r="DQ52" s="392">
        <v>1268.4659999999999</v>
      </c>
      <c r="DR52" s="392">
        <v>1234.578</v>
      </c>
      <c r="DS52" s="392">
        <v>1416.9479999999999</v>
      </c>
      <c r="DT52" s="392">
        <v>1485.336</v>
      </c>
      <c r="DU52" s="392">
        <v>1413.72</v>
      </c>
      <c r="DV52" s="392">
        <v>1675.0139999999999</v>
      </c>
      <c r="DW52" s="392">
        <v>1498.0140000000001</v>
      </c>
      <c r="DX52" s="392">
        <v>1537.3619999999999</v>
      </c>
      <c r="DY52" s="392">
        <v>1640.3880000000001</v>
      </c>
      <c r="DZ52" s="392">
        <v>1782.84</v>
      </c>
      <c r="EA52" s="392">
        <v>1796.8679999999999</v>
      </c>
      <c r="EB52" s="392">
        <v>1856.5739999999998</v>
      </c>
      <c r="EC52" s="392">
        <v>1728.0059999999999</v>
      </c>
      <c r="ED52" s="392">
        <v>1752.3720000000001</v>
      </c>
      <c r="EE52" s="392">
        <v>2388.3779999999997</v>
      </c>
      <c r="EF52" s="392">
        <v>2244.4319999999998</v>
      </c>
      <c r="EG52" s="392">
        <v>1788.6659999999999</v>
      </c>
      <c r="EH52" s="392">
        <v>2252.8920000000003</v>
      </c>
      <c r="EI52" s="392">
        <v>1791.1860000000001</v>
      </c>
      <c r="EJ52" s="392">
        <v>1793.6220000000001</v>
      </c>
      <c r="EK52" s="392">
        <v>1851.6659999999999</v>
      </c>
      <c r="EL52" s="392">
        <v>1622.598</v>
      </c>
      <c r="EM52" s="392">
        <v>1779.6000000000001</v>
      </c>
      <c r="EN52" s="392">
        <v>1718.94</v>
      </c>
      <c r="EO52" s="392">
        <v>1564.1999999999998</v>
      </c>
      <c r="EP52" s="392">
        <v>1662.1320000000001</v>
      </c>
      <c r="EQ52" s="392">
        <v>1730.6999999999998</v>
      </c>
      <c r="ER52" s="392">
        <v>1621.4520000000002</v>
      </c>
      <c r="ES52" s="392">
        <v>1682.22</v>
      </c>
      <c r="ET52" s="392">
        <v>1500.57</v>
      </c>
      <c r="EU52" s="392">
        <v>1299.51</v>
      </c>
      <c r="EV52" s="392">
        <v>1367.52</v>
      </c>
      <c r="EW52" s="392">
        <v>1279.56</v>
      </c>
      <c r="EX52" s="392">
        <v>1284.6420000000001</v>
      </c>
      <c r="EY52" s="392">
        <v>1323.8879999999999</v>
      </c>
      <c r="EZ52" s="392">
        <v>1483.7339999999999</v>
      </c>
      <c r="FA52" s="392">
        <v>1354.326</v>
      </c>
      <c r="FB52" s="392">
        <v>1360.53</v>
      </c>
      <c r="FC52" s="392">
        <v>1485.2640000000001</v>
      </c>
      <c r="FD52" s="392">
        <v>2031.288</v>
      </c>
      <c r="FE52" s="392">
        <v>1398.1200000000001</v>
      </c>
      <c r="FF52" s="392">
        <v>1355.058</v>
      </c>
      <c r="FG52" s="392">
        <v>1153.644</v>
      </c>
      <c r="FH52" s="392">
        <v>1218.6779999999999</v>
      </c>
      <c r="FI52" s="392">
        <v>1236.9960000000001</v>
      </c>
      <c r="FJ52" s="392">
        <v>1218.4259999999999</v>
      </c>
      <c r="FK52" s="392">
        <v>1280.9100000000001</v>
      </c>
      <c r="FL52" s="392">
        <v>1307.52</v>
      </c>
      <c r="FM52" s="392">
        <v>1212.078</v>
      </c>
      <c r="FN52" s="392">
        <v>1372.3380000000002</v>
      </c>
      <c r="FO52" s="392">
        <v>1370.826</v>
      </c>
      <c r="FP52" s="392">
        <v>1557.318</v>
      </c>
      <c r="FQ52" s="392">
        <v>1440.4259999999999</v>
      </c>
      <c r="FR52" s="392">
        <v>1552.5479999999998</v>
      </c>
      <c r="FS52" s="392">
        <v>1472.43</v>
      </c>
      <c r="FT52" s="392">
        <v>1532.556</v>
      </c>
      <c r="FU52" s="392">
        <v>1524.7439999999999</v>
      </c>
      <c r="FV52" s="392">
        <v>1538.922</v>
      </c>
      <c r="FW52" s="392">
        <v>1543.4879999999998</v>
      </c>
      <c r="FX52" s="392">
        <v>1478.3579999999999</v>
      </c>
      <c r="FY52" s="392">
        <v>1228.4879999999998</v>
      </c>
      <c r="FZ52" s="392">
        <v>1229.4360000000001</v>
      </c>
      <c r="GA52" s="392">
        <v>1474.992</v>
      </c>
      <c r="GB52" s="392">
        <v>1477.518</v>
      </c>
      <c r="GC52" s="392">
        <v>1329.222</v>
      </c>
      <c r="GD52" s="392">
        <v>1348.0259999999998</v>
      </c>
      <c r="GE52" s="392">
        <v>1339.9559999999999</v>
      </c>
      <c r="GF52" s="392">
        <v>1310.376</v>
      </c>
      <c r="GG52" s="392">
        <v>1272.7260000000001</v>
      </c>
      <c r="GH52" s="392">
        <v>1272.6420000000001</v>
      </c>
      <c r="GI52" s="392">
        <v>1301.316</v>
      </c>
      <c r="GJ52" s="392">
        <v>1366.146</v>
      </c>
      <c r="GK52" s="392">
        <v>1217.8139999999999</v>
      </c>
      <c r="GL52" s="392">
        <v>1263.924</v>
      </c>
      <c r="GM52" s="392">
        <v>1369.8000000000002</v>
      </c>
      <c r="GN52" s="392">
        <v>1550.5500000000002</v>
      </c>
      <c r="GO52" s="392">
        <v>1281.7439999999999</v>
      </c>
      <c r="GP52" s="392">
        <v>1398.9479999999999</v>
      </c>
      <c r="GQ52" s="392">
        <v>1292.3700000000001</v>
      </c>
      <c r="GR52" s="392">
        <v>1295.0820000000001</v>
      </c>
      <c r="GS52" s="392">
        <v>1325.376</v>
      </c>
      <c r="GT52" s="392">
        <v>1302.5039999999999</v>
      </c>
      <c r="GU52" s="392">
        <v>1331.6759999999999</v>
      </c>
      <c r="GV52" s="392">
        <v>1404.0720000000001</v>
      </c>
      <c r="GW52" s="392">
        <v>1277.9100000000001</v>
      </c>
      <c r="GX52" s="392">
        <v>1417.116</v>
      </c>
      <c r="GY52" s="392">
        <v>1390.518</v>
      </c>
      <c r="GZ52" s="392">
        <v>1757.52</v>
      </c>
      <c r="HA52" s="392">
        <v>1811.58</v>
      </c>
      <c r="HB52" s="392">
        <v>1857.402</v>
      </c>
      <c r="HC52" s="392">
        <v>1837.9079999999999</v>
      </c>
      <c r="HD52" s="392">
        <v>1864.47</v>
      </c>
      <c r="HE52" s="392">
        <v>1924.758</v>
      </c>
      <c r="HF52" s="392">
        <v>1840.7639999999999</v>
      </c>
      <c r="HG52" s="392">
        <v>2242.2179999999998</v>
      </c>
      <c r="HH52" s="392">
        <v>2270.6220000000003</v>
      </c>
      <c r="HI52" s="392">
        <v>1966.9679999999998</v>
      </c>
      <c r="HJ52" s="392">
        <v>2143.596</v>
      </c>
      <c r="HK52" s="392">
        <v>2359.8720000000003</v>
      </c>
      <c r="HL52" s="392">
        <v>2297.346</v>
      </c>
      <c r="HM52" s="392">
        <v>1909.902</v>
      </c>
      <c r="HN52" s="392">
        <v>2008.59</v>
      </c>
      <c r="HO52" s="392">
        <v>1807.3619999999999</v>
      </c>
      <c r="HP52" s="444">
        <v>1940.2740000000001</v>
      </c>
      <c r="HQ52" s="444">
        <v>1827.444</v>
      </c>
      <c r="HR52" s="444">
        <v>1793.8920000000003</v>
      </c>
      <c r="HS52" s="444">
        <v>1974.66</v>
      </c>
      <c r="HT52" s="444">
        <v>2029.8359999999998</v>
      </c>
      <c r="HU52" s="444">
        <v>1801.8000000000002</v>
      </c>
      <c r="HV52" s="392">
        <v>1964.904</v>
      </c>
      <c r="HW52" s="392">
        <v>2052.81</v>
      </c>
      <c r="HX52" s="392">
        <v>2159.7780000000002</v>
      </c>
      <c r="HY52" s="392">
        <v>1899.2939999999999</v>
      </c>
      <c r="HZ52" s="392">
        <v>2061.27</v>
      </c>
      <c r="IA52" s="392">
        <v>1983.6179999999999</v>
      </c>
      <c r="IB52" s="392">
        <v>1944.3899999999999</v>
      </c>
      <c r="IC52" s="392">
        <v>1785.6659999999999</v>
      </c>
      <c r="ID52" s="392">
        <v>1817.6399999999999</v>
      </c>
      <c r="IE52" s="392">
        <v>1857.3239999999998</v>
      </c>
      <c r="IF52" s="392">
        <v>1811.3220000000001</v>
      </c>
      <c r="IG52" s="392">
        <v>1762.8959999999997</v>
      </c>
      <c r="IH52" s="392">
        <v>1715.6459999999997</v>
      </c>
      <c r="II52" s="392">
        <v>1726.758</v>
      </c>
      <c r="IJ52" s="392">
        <v>2019.0359999999998</v>
      </c>
      <c r="IK52" s="392">
        <v>2063.652</v>
      </c>
      <c r="IL52" s="392">
        <v>2041.8720000000001</v>
      </c>
      <c r="IM52" s="392">
        <v>1897.9860000000001</v>
      </c>
      <c r="IN52" s="444">
        <v>1909.0439999999999</v>
      </c>
      <c r="IO52" s="444">
        <v>2020.8359999999998</v>
      </c>
      <c r="IP52" s="444">
        <v>2054.0819999999999</v>
      </c>
      <c r="IQ52" s="444">
        <v>2241.42</v>
      </c>
      <c r="IR52" s="444">
        <v>2427.672</v>
      </c>
      <c r="IS52" s="444">
        <v>2191.83</v>
      </c>
      <c r="IT52" s="444">
        <v>2383.8720000000003</v>
      </c>
      <c r="IU52" s="444">
        <v>2492.8679999999999</v>
      </c>
      <c r="IV52" s="444">
        <v>2821.6619999999998</v>
      </c>
      <c r="IW52" s="445">
        <v>2827.9279999999999</v>
      </c>
      <c r="IX52" s="445">
        <v>3009.3440000000001</v>
      </c>
      <c r="IY52" s="445">
        <v>3105.6860000000001</v>
      </c>
      <c r="IZ52" s="445">
        <v>2717.62</v>
      </c>
      <c r="JA52" s="445">
        <v>2922.8040000000001</v>
      </c>
      <c r="JB52" s="445">
        <v>2868.3960000000002</v>
      </c>
      <c r="JC52" s="445">
        <v>3222.346</v>
      </c>
      <c r="JD52" s="445">
        <v>2780.38</v>
      </c>
      <c r="JE52" s="446">
        <v>2698.1179999999999</v>
      </c>
    </row>
    <row r="53" spans="1:669" x14ac:dyDescent="0.3">
      <c r="A53" s="394" t="s">
        <v>91</v>
      </c>
      <c r="B53" s="395">
        <v>5353.9979999999996</v>
      </c>
      <c r="C53" s="395">
        <v>5317.4040000000005</v>
      </c>
      <c r="D53" s="395">
        <v>7955.2619999999997</v>
      </c>
      <c r="E53" s="395">
        <v>5501.22</v>
      </c>
      <c r="F53" s="395">
        <v>5980.0320000000002</v>
      </c>
      <c r="G53" s="395">
        <v>5608.08</v>
      </c>
      <c r="H53" s="395">
        <v>5950.3620000000001</v>
      </c>
      <c r="I53" s="395">
        <v>5991.6</v>
      </c>
      <c r="J53" s="395">
        <v>5892.018</v>
      </c>
      <c r="K53" s="395">
        <v>6095.8679999999995</v>
      </c>
      <c r="L53" s="395">
        <v>5993.9279999999999</v>
      </c>
      <c r="M53" s="395">
        <v>5339.79</v>
      </c>
      <c r="N53" s="395">
        <v>5299.2060000000001</v>
      </c>
      <c r="O53" s="395">
        <v>5308.4219999999996</v>
      </c>
      <c r="P53" s="395">
        <v>5496.9120000000003</v>
      </c>
      <c r="Q53" s="395">
        <v>5915.2440000000006</v>
      </c>
      <c r="R53" s="395">
        <v>5835.4380000000001</v>
      </c>
      <c r="S53" s="395">
        <v>5149.2539999999999</v>
      </c>
      <c r="T53" s="395">
        <v>5877.36</v>
      </c>
      <c r="U53" s="395">
        <v>5913.4500000000007</v>
      </c>
      <c r="V53" s="395">
        <v>5589.3119999999999</v>
      </c>
      <c r="W53" s="395">
        <v>5538.6479999999992</v>
      </c>
      <c r="X53" s="395">
        <v>5874.6540000000005</v>
      </c>
      <c r="Y53" s="395">
        <v>5553.6179999999995</v>
      </c>
      <c r="Z53" s="395">
        <v>5474.4539999999997</v>
      </c>
      <c r="AA53" s="395">
        <v>5543.7659999999996</v>
      </c>
      <c r="AB53" s="395">
        <v>6010.116</v>
      </c>
      <c r="AC53" s="395">
        <v>6185.1660000000011</v>
      </c>
      <c r="AD53" s="395">
        <v>6934.9920000000002</v>
      </c>
      <c r="AE53" s="395">
        <v>6169.3680000000004</v>
      </c>
      <c r="AF53" s="395">
        <v>6740.8439999999991</v>
      </c>
      <c r="AG53" s="395">
        <v>6005.3639999999996</v>
      </c>
      <c r="AH53" s="395">
        <v>5931.7440000000006</v>
      </c>
      <c r="AI53" s="395">
        <v>5789.64</v>
      </c>
      <c r="AJ53" s="395">
        <v>5708.0039999999999</v>
      </c>
      <c r="AK53" s="395">
        <v>5565.732</v>
      </c>
      <c r="AL53" s="395">
        <v>5523.4319999999998</v>
      </c>
      <c r="AM53" s="395">
        <v>5829.36</v>
      </c>
      <c r="AN53" s="395">
        <v>7120.4639999999999</v>
      </c>
      <c r="AO53" s="395">
        <v>6563.0999999999995</v>
      </c>
      <c r="AP53" s="395">
        <v>6886.5960000000005</v>
      </c>
      <c r="AQ53" s="395">
        <v>7345.1639999999998</v>
      </c>
      <c r="AR53" s="395">
        <v>7055.3220000000001</v>
      </c>
      <c r="AS53" s="395">
        <v>7223.7060000000001</v>
      </c>
      <c r="AT53" s="395">
        <v>7191.5999999999995</v>
      </c>
      <c r="AU53" s="395">
        <v>7633.1280000000006</v>
      </c>
      <c r="AV53" s="395">
        <v>7664.7659999999996</v>
      </c>
      <c r="AW53" s="395">
        <v>7454.4060000000009</v>
      </c>
      <c r="AX53" s="395">
        <v>7672.637999999999</v>
      </c>
      <c r="AY53" s="395">
        <v>7650.75</v>
      </c>
      <c r="AZ53" s="395">
        <v>8377.0319999999992</v>
      </c>
      <c r="BA53" s="395">
        <v>8592.6180000000004</v>
      </c>
      <c r="BB53" s="395">
        <v>8782.2540000000008</v>
      </c>
      <c r="BC53" s="395">
        <v>8606.49</v>
      </c>
      <c r="BD53" s="395">
        <v>9570.6059999999998</v>
      </c>
      <c r="BE53" s="395">
        <v>8926.5720000000001</v>
      </c>
      <c r="BF53" s="395">
        <v>8496.366</v>
      </c>
      <c r="BG53" s="395">
        <v>8781.3060000000005</v>
      </c>
      <c r="BH53" s="395">
        <v>9049.8180000000011</v>
      </c>
      <c r="BI53" s="395">
        <v>8196.1500000000015</v>
      </c>
      <c r="BJ53" s="395">
        <v>8580.7199999999993</v>
      </c>
      <c r="BK53" s="395">
        <v>8868.5399999999991</v>
      </c>
      <c r="BL53" s="395">
        <v>10235.19</v>
      </c>
      <c r="BM53" s="395">
        <v>9554.0879999999997</v>
      </c>
      <c r="BN53" s="395">
        <v>10640.099999999999</v>
      </c>
      <c r="BO53" s="395">
        <v>11138.603999999999</v>
      </c>
      <c r="BP53" s="395">
        <v>10734.335999999999</v>
      </c>
      <c r="BQ53" s="395">
        <v>11707.727999999999</v>
      </c>
      <c r="BR53" s="395">
        <v>11766.45</v>
      </c>
      <c r="BS53" s="395">
        <v>11582.526</v>
      </c>
      <c r="BT53" s="395">
        <v>11951.892</v>
      </c>
      <c r="BU53" s="395">
        <v>11679.792000000001</v>
      </c>
      <c r="BV53" s="395">
        <v>11056.727999999999</v>
      </c>
      <c r="BW53" s="395">
        <v>11873.088</v>
      </c>
      <c r="BX53" s="395">
        <v>14053.998</v>
      </c>
      <c r="BY53" s="395">
        <v>12458.946</v>
      </c>
      <c r="BZ53" s="395">
        <v>13319.838</v>
      </c>
      <c r="CA53" s="395">
        <v>13440.72</v>
      </c>
      <c r="CB53" s="395">
        <v>13005.275999999998</v>
      </c>
      <c r="CC53" s="395">
        <v>14717.268</v>
      </c>
      <c r="CD53" s="395">
        <v>14379.468000000001</v>
      </c>
      <c r="CE53" s="395">
        <v>12645.408000000001</v>
      </c>
      <c r="CF53" s="395">
        <v>12726.534</v>
      </c>
      <c r="CG53" s="395">
        <v>11191.572</v>
      </c>
      <c r="CH53" s="395">
        <v>11501.19</v>
      </c>
      <c r="CI53" s="395">
        <v>11693.25</v>
      </c>
      <c r="CJ53" s="395">
        <v>12110.184000000001</v>
      </c>
      <c r="CK53" s="395">
        <v>12309.545999999998</v>
      </c>
      <c r="CL53" s="395">
        <v>12877.091999999999</v>
      </c>
      <c r="CM53" s="395">
        <v>12896.118</v>
      </c>
      <c r="CN53" s="395">
        <v>14371.542000000001</v>
      </c>
      <c r="CO53" s="395">
        <v>15125.957999999999</v>
      </c>
      <c r="CP53" s="395">
        <v>13144.056</v>
      </c>
      <c r="CQ53" s="395">
        <v>12802.956</v>
      </c>
      <c r="CR53" s="395">
        <v>11445.462</v>
      </c>
      <c r="CS53" s="395">
        <v>10379.58</v>
      </c>
      <c r="CT53" s="395">
        <v>9185.1959999999999</v>
      </c>
      <c r="CU53" s="395">
        <v>8073.2939999999999</v>
      </c>
      <c r="CV53" s="395">
        <v>8106.5999999999995</v>
      </c>
      <c r="CW53" s="395">
        <v>7304.3460000000005</v>
      </c>
      <c r="CX53" s="395">
        <v>7227.3180000000011</v>
      </c>
      <c r="CY53" s="395">
        <v>7245.7079999999996</v>
      </c>
      <c r="CZ53" s="395">
        <v>7066.4400000000005</v>
      </c>
      <c r="DA53" s="395">
        <v>7788.1620000000003</v>
      </c>
      <c r="DB53" s="395">
        <v>6675.6840000000002</v>
      </c>
      <c r="DC53" s="395">
        <v>6993.7920000000004</v>
      </c>
      <c r="DD53" s="395">
        <v>6735.6479999999992</v>
      </c>
      <c r="DE53" s="395">
        <v>6561.3180000000011</v>
      </c>
      <c r="DF53" s="395">
        <v>6659.6460000000006</v>
      </c>
      <c r="DG53" s="395">
        <v>6949.0439999999999</v>
      </c>
      <c r="DH53" s="395">
        <v>7487.4479999999994</v>
      </c>
      <c r="DI53" s="395">
        <v>7107.33</v>
      </c>
      <c r="DJ53" s="395">
        <v>7561.7040000000006</v>
      </c>
      <c r="DK53" s="395">
        <v>8021.3819999999996</v>
      </c>
      <c r="DL53" s="395">
        <v>7937.8320000000003</v>
      </c>
      <c r="DM53" s="395">
        <v>8269.5300000000007</v>
      </c>
      <c r="DN53" s="395">
        <v>8335.0680000000011</v>
      </c>
      <c r="DO53" s="395">
        <v>9264.4319999999989</v>
      </c>
      <c r="DP53" s="395">
        <v>9055.985999999999</v>
      </c>
      <c r="DQ53" s="395">
        <v>8572.134</v>
      </c>
      <c r="DR53" s="395">
        <v>8439.0960000000014</v>
      </c>
      <c r="DS53" s="395">
        <v>8804.19</v>
      </c>
      <c r="DT53" s="395">
        <v>9482.91</v>
      </c>
      <c r="DU53" s="395">
        <v>9175.0259999999998</v>
      </c>
      <c r="DV53" s="395">
        <v>10079.922</v>
      </c>
      <c r="DW53" s="395">
        <v>9848.25</v>
      </c>
      <c r="DX53" s="395">
        <v>9546.5820000000003</v>
      </c>
      <c r="DY53" s="395">
        <v>10036.008</v>
      </c>
      <c r="DZ53" s="395">
        <v>9123.93</v>
      </c>
      <c r="EA53" s="395">
        <v>9473.19</v>
      </c>
      <c r="EB53" s="395">
        <v>9417.0239999999994</v>
      </c>
      <c r="EC53" s="395">
        <v>8204.4239999999991</v>
      </c>
      <c r="ED53" s="395">
        <v>8380.0740000000005</v>
      </c>
      <c r="EE53" s="395">
        <v>8655.4500000000007</v>
      </c>
      <c r="EF53" s="395">
        <v>8534.7839999999997</v>
      </c>
      <c r="EG53" s="395">
        <v>7920.99</v>
      </c>
      <c r="EH53" s="395">
        <v>8323.4940000000006</v>
      </c>
      <c r="EI53" s="395">
        <v>8213.0399999999991</v>
      </c>
      <c r="EJ53" s="395">
        <v>8308.7880000000005</v>
      </c>
      <c r="EK53" s="395">
        <v>8368.152</v>
      </c>
      <c r="EL53" s="395">
        <v>7843.134</v>
      </c>
      <c r="EM53" s="395">
        <v>9071.82</v>
      </c>
      <c r="EN53" s="395">
        <v>8220.768</v>
      </c>
      <c r="EO53" s="395">
        <v>6912.7260000000006</v>
      </c>
      <c r="EP53" s="395">
        <v>7058.8680000000004</v>
      </c>
      <c r="EQ53" s="395">
        <v>6998.3939999999993</v>
      </c>
      <c r="ER53" s="395">
        <v>7252.5599999999995</v>
      </c>
      <c r="ES53" s="395">
        <v>7255.68</v>
      </c>
      <c r="ET53" s="395">
        <v>7071.3360000000002</v>
      </c>
      <c r="EU53" s="395">
        <v>6962.7179999999998</v>
      </c>
      <c r="EV53" s="395">
        <v>6870.174</v>
      </c>
      <c r="EW53" s="395">
        <v>6732.12</v>
      </c>
      <c r="EX53" s="395">
        <v>6484.83</v>
      </c>
      <c r="EY53" s="395">
        <v>7013.1419999999998</v>
      </c>
      <c r="EZ53" s="395">
        <v>6511.3680000000004</v>
      </c>
      <c r="FA53" s="395">
        <v>5788.7880000000005</v>
      </c>
      <c r="FB53" s="395">
        <v>5847.2340000000004</v>
      </c>
      <c r="FC53" s="395">
        <v>5651.0340000000006</v>
      </c>
      <c r="FD53" s="395">
        <v>6097.0439999999999</v>
      </c>
      <c r="FE53" s="395">
        <v>5462.5860000000002</v>
      </c>
      <c r="FF53" s="395">
        <v>6361.9079999999994</v>
      </c>
      <c r="FG53" s="395">
        <v>5707.86</v>
      </c>
      <c r="FH53" s="395">
        <v>6072.7080000000005</v>
      </c>
      <c r="FI53" s="395">
        <v>5873.652</v>
      </c>
      <c r="FJ53" s="395">
        <v>5575.2060000000001</v>
      </c>
      <c r="FK53" s="395">
        <v>6060.2460000000001</v>
      </c>
      <c r="FL53" s="395">
        <v>5865.6959999999999</v>
      </c>
      <c r="FM53" s="395">
        <v>5307.8639999999996</v>
      </c>
      <c r="FN53" s="395">
        <v>5476.1760000000004</v>
      </c>
      <c r="FO53" s="395">
        <v>5592.15</v>
      </c>
      <c r="FP53" s="395">
        <v>6101.4480000000003</v>
      </c>
      <c r="FQ53" s="395">
        <v>5727.1080000000002</v>
      </c>
      <c r="FR53" s="395">
        <v>6200.4540000000006</v>
      </c>
      <c r="FS53" s="395">
        <v>6213.264000000001</v>
      </c>
      <c r="FT53" s="395">
        <v>6157.1880000000001</v>
      </c>
      <c r="FU53" s="395">
        <v>5905.8119999999999</v>
      </c>
      <c r="FV53" s="395">
        <v>5854.4580000000005</v>
      </c>
      <c r="FW53" s="395">
        <v>7149.9959999999992</v>
      </c>
      <c r="FX53" s="395">
        <v>5585.8979999999992</v>
      </c>
      <c r="FY53" s="395">
        <v>5148.9480000000003</v>
      </c>
      <c r="FZ53" s="395">
        <v>5142.3720000000003</v>
      </c>
      <c r="GA53" s="395">
        <v>5157.6540000000005</v>
      </c>
      <c r="GB53" s="395">
        <v>5453.9940000000006</v>
      </c>
      <c r="GC53" s="395">
        <v>5059.4759999999997</v>
      </c>
      <c r="GD53" s="395">
        <v>5628.6419999999998</v>
      </c>
      <c r="GE53" s="395">
        <v>5296.0739999999996</v>
      </c>
      <c r="GF53" s="395">
        <v>5382.3779999999997</v>
      </c>
      <c r="GG53" s="395">
        <v>5371.0140000000001</v>
      </c>
      <c r="GH53" s="395">
        <v>5263.7340000000004</v>
      </c>
      <c r="GI53" s="395">
        <v>5596.2539999999999</v>
      </c>
      <c r="GJ53" s="395">
        <v>5686.0439999999999</v>
      </c>
      <c r="GK53" s="395">
        <v>5285.4179999999997</v>
      </c>
      <c r="GL53" s="395">
        <v>5493.8099999999995</v>
      </c>
      <c r="GM53" s="395">
        <v>5359.6620000000003</v>
      </c>
      <c r="GN53" s="395">
        <v>7230.39</v>
      </c>
      <c r="GO53" s="395">
        <v>5670.5640000000003</v>
      </c>
      <c r="GP53" s="395">
        <v>5941.6139999999996</v>
      </c>
      <c r="GQ53" s="395">
        <v>5810.9400000000005</v>
      </c>
      <c r="GR53" s="395">
        <v>5939.1540000000005</v>
      </c>
      <c r="GS53" s="395">
        <v>5886.2520000000004</v>
      </c>
      <c r="GT53" s="395">
        <v>5384.9279999999999</v>
      </c>
      <c r="GU53" s="395">
        <v>5903.7000000000007</v>
      </c>
      <c r="GV53" s="395">
        <v>5957.43</v>
      </c>
      <c r="GW53" s="395">
        <v>5089.116</v>
      </c>
      <c r="GX53" s="395">
        <v>5238.8280000000004</v>
      </c>
      <c r="GY53" s="395">
        <v>4982.3879999999999</v>
      </c>
      <c r="GZ53" s="395">
        <v>5544.8639999999996</v>
      </c>
      <c r="HA53" s="395">
        <v>5203.7880000000005</v>
      </c>
      <c r="HB53" s="395">
        <v>6048.8220000000001</v>
      </c>
      <c r="HC53" s="395">
        <v>5342.3040000000001</v>
      </c>
      <c r="HD53" s="395">
        <v>5768.79</v>
      </c>
      <c r="HE53" s="395">
        <v>5943.9179999999997</v>
      </c>
      <c r="HF53" s="395">
        <v>5747.43</v>
      </c>
      <c r="HG53" s="395">
        <v>6704.3099999999995</v>
      </c>
      <c r="HH53" s="395">
        <v>6349.014000000001</v>
      </c>
      <c r="HI53" s="395">
        <v>5596.9679999999998</v>
      </c>
      <c r="HJ53" s="395">
        <v>6036.6959999999999</v>
      </c>
      <c r="HK53" s="395">
        <v>6307.9079999999994</v>
      </c>
      <c r="HL53" s="395">
        <v>6699.7860000000001</v>
      </c>
      <c r="HM53" s="395">
        <v>6224.5439999999999</v>
      </c>
      <c r="HN53" s="395">
        <v>6819.7199999999993</v>
      </c>
      <c r="HO53" s="395">
        <v>6589.6979999999994</v>
      </c>
      <c r="HP53" s="395">
        <v>7070.735999999999</v>
      </c>
      <c r="HQ53" s="395">
        <v>6852.9719999999998</v>
      </c>
      <c r="HR53" s="395">
        <v>7018.59</v>
      </c>
      <c r="HS53" s="395">
        <v>8606.58</v>
      </c>
      <c r="HT53" s="395">
        <v>9412.44</v>
      </c>
      <c r="HU53" s="395">
        <v>7342.9920000000002</v>
      </c>
      <c r="HV53" s="395">
        <v>7932.7800000000007</v>
      </c>
      <c r="HW53" s="395">
        <v>7458.33</v>
      </c>
      <c r="HX53" s="395">
        <v>7739.2800000000007</v>
      </c>
      <c r="HY53" s="395">
        <v>6687.576</v>
      </c>
      <c r="HZ53" s="395">
        <v>6852.6360000000004</v>
      </c>
      <c r="IA53" s="395">
        <v>7027.9079999999994</v>
      </c>
      <c r="IB53" s="395">
        <v>7670.0339999999997</v>
      </c>
      <c r="IC53" s="395">
        <v>7281.6479999999992</v>
      </c>
      <c r="ID53" s="395">
        <v>7009.1639999999998</v>
      </c>
      <c r="IE53" s="395">
        <v>7287.7380000000003</v>
      </c>
      <c r="IF53" s="395">
        <v>7461.6419999999998</v>
      </c>
      <c r="IG53" s="395">
        <v>7053.0420000000004</v>
      </c>
      <c r="IH53" s="395">
        <v>7185.2040000000006</v>
      </c>
      <c r="II53" s="395">
        <v>7361.0399999999991</v>
      </c>
      <c r="IJ53" s="395">
        <v>7991.6280000000006</v>
      </c>
      <c r="IK53" s="395">
        <v>7564.08</v>
      </c>
      <c r="IL53" s="395">
        <v>8349.9719999999998</v>
      </c>
      <c r="IM53" s="395">
        <v>8420.4120000000003</v>
      </c>
      <c r="IN53" s="15">
        <v>8207.5439999999999</v>
      </c>
      <c r="IO53" s="15">
        <v>8521.098</v>
      </c>
      <c r="IP53" s="15">
        <v>8508.66</v>
      </c>
      <c r="IQ53" s="15">
        <v>8462.0399999999991</v>
      </c>
      <c r="IR53" s="15">
        <v>8555.67</v>
      </c>
      <c r="IS53" s="15">
        <v>7702.5540000000001</v>
      </c>
      <c r="IT53" s="15">
        <v>7584.5280000000002</v>
      </c>
      <c r="IU53" s="15">
        <v>7624.02</v>
      </c>
      <c r="IV53" s="15">
        <v>9090.2219999999998</v>
      </c>
      <c r="IW53" s="15">
        <v>8453.134</v>
      </c>
      <c r="IX53" s="15">
        <v>8726.1839999999993</v>
      </c>
      <c r="IY53" s="15">
        <v>9753.7199999999993</v>
      </c>
      <c r="IZ53" s="15">
        <v>10112.075999999999</v>
      </c>
      <c r="JA53" s="15">
        <v>10713.404</v>
      </c>
      <c r="JB53" s="15">
        <v>11271.054</v>
      </c>
      <c r="JC53" s="15">
        <v>11467.592000000001</v>
      </c>
      <c r="JD53" s="15">
        <v>10118.407999999999</v>
      </c>
      <c r="JE53" s="447">
        <v>8879.9519999999993</v>
      </c>
    </row>
    <row r="54" spans="1:669" x14ac:dyDescent="0.3">
      <c r="A54" s="394" t="s">
        <v>182</v>
      </c>
      <c r="B54" s="392">
        <v>554.346</v>
      </c>
      <c r="C54" s="392">
        <v>569.40000000000009</v>
      </c>
      <c r="D54" s="392">
        <v>635.61599999999999</v>
      </c>
      <c r="E54" s="392">
        <v>595.00199999999995</v>
      </c>
      <c r="F54" s="392">
        <v>659.47799999999995</v>
      </c>
      <c r="G54" s="392">
        <v>614.62199999999996</v>
      </c>
      <c r="H54" s="392">
        <v>587.31000000000006</v>
      </c>
      <c r="I54" s="392">
        <v>582.76199999999994</v>
      </c>
      <c r="J54" s="392">
        <v>575.21399999999994</v>
      </c>
      <c r="K54" s="392">
        <v>684.47399999999993</v>
      </c>
      <c r="L54" s="392">
        <v>667.09800000000007</v>
      </c>
      <c r="M54" s="392">
        <v>584.52</v>
      </c>
      <c r="N54" s="392">
        <v>567.45000000000005</v>
      </c>
      <c r="O54" s="392">
        <v>577.62599999999998</v>
      </c>
      <c r="P54" s="392">
        <v>585.34199999999998</v>
      </c>
      <c r="Q54" s="392">
        <v>528.14400000000001</v>
      </c>
      <c r="R54" s="392">
        <v>596.09999999999991</v>
      </c>
      <c r="S54" s="392">
        <v>543.90000000000009</v>
      </c>
      <c r="T54" s="392">
        <v>532.77600000000007</v>
      </c>
      <c r="U54" s="392">
        <v>583.62599999999998</v>
      </c>
      <c r="V54" s="392">
        <v>565.71600000000001</v>
      </c>
      <c r="W54" s="392">
        <v>616.86599999999999</v>
      </c>
      <c r="X54" s="392">
        <v>564.29999999999995</v>
      </c>
      <c r="Y54" s="392">
        <v>510.40800000000002</v>
      </c>
      <c r="Z54" s="392">
        <v>544.26599999999996</v>
      </c>
      <c r="AA54" s="392">
        <v>545.04599999999994</v>
      </c>
      <c r="AB54" s="392">
        <v>575.952</v>
      </c>
      <c r="AC54" s="392">
        <v>542.61</v>
      </c>
      <c r="AD54" s="392">
        <v>595.47</v>
      </c>
      <c r="AE54" s="392">
        <v>531.49800000000005</v>
      </c>
      <c r="AF54" s="392">
        <v>571.54200000000003</v>
      </c>
      <c r="AG54" s="392">
        <v>589.71</v>
      </c>
      <c r="AH54" s="392">
        <v>542.202</v>
      </c>
      <c r="AI54" s="392">
        <v>590.50199999999995</v>
      </c>
      <c r="AJ54" s="392">
        <v>594.87599999999998</v>
      </c>
      <c r="AK54" s="392">
        <v>550.16399999999999</v>
      </c>
      <c r="AL54" s="392">
        <v>587.46600000000001</v>
      </c>
      <c r="AM54" s="392">
        <v>563.20799999999997</v>
      </c>
      <c r="AN54" s="392">
        <v>562.10400000000004</v>
      </c>
      <c r="AO54" s="392">
        <v>518.59800000000007</v>
      </c>
      <c r="AP54" s="392">
        <v>548.346</v>
      </c>
      <c r="AQ54" s="392">
        <v>571.07400000000007</v>
      </c>
      <c r="AR54" s="392">
        <v>583.80600000000004</v>
      </c>
      <c r="AS54" s="392">
        <v>569.904</v>
      </c>
      <c r="AT54" s="392">
        <v>587.99399999999991</v>
      </c>
      <c r="AU54" s="392">
        <v>548.36400000000003</v>
      </c>
      <c r="AV54" s="392">
        <v>586.87199999999996</v>
      </c>
      <c r="AW54" s="392">
        <v>618.92399999999998</v>
      </c>
      <c r="AX54" s="392">
        <v>558.702</v>
      </c>
      <c r="AY54" s="392">
        <v>718.83600000000001</v>
      </c>
      <c r="AZ54" s="392">
        <v>734.31600000000003</v>
      </c>
      <c r="BA54" s="392">
        <v>613.29599999999994</v>
      </c>
      <c r="BB54" s="392">
        <v>667.71</v>
      </c>
      <c r="BC54" s="392">
        <v>687.24</v>
      </c>
      <c r="BD54" s="392">
        <v>673.51199999999994</v>
      </c>
      <c r="BE54" s="392">
        <v>678.89400000000001</v>
      </c>
      <c r="BF54" s="392">
        <v>733.428</v>
      </c>
      <c r="BG54" s="392">
        <v>682.54200000000003</v>
      </c>
      <c r="BH54" s="392">
        <v>675.43799999999999</v>
      </c>
      <c r="BI54" s="392">
        <v>641.81999999999994</v>
      </c>
      <c r="BJ54" s="392">
        <v>621.38400000000001</v>
      </c>
      <c r="BK54" s="392">
        <v>615.41999999999996</v>
      </c>
      <c r="BL54" s="392">
        <v>699.66600000000005</v>
      </c>
      <c r="BM54" s="392">
        <v>570.69600000000003</v>
      </c>
      <c r="BN54" s="392">
        <v>666.06600000000003</v>
      </c>
      <c r="BO54" s="392">
        <v>683.37599999999998</v>
      </c>
      <c r="BP54" s="392">
        <v>668.74199999999996</v>
      </c>
      <c r="BQ54" s="392">
        <v>693.20400000000006</v>
      </c>
      <c r="BR54" s="392">
        <v>734.40599999999995</v>
      </c>
      <c r="BS54" s="392">
        <v>738.15599999999995</v>
      </c>
      <c r="BT54" s="392">
        <v>743.55</v>
      </c>
      <c r="BU54" s="392">
        <v>611.36400000000003</v>
      </c>
      <c r="BV54" s="392">
        <v>667.96800000000007</v>
      </c>
      <c r="BW54" s="392">
        <v>698.56200000000001</v>
      </c>
      <c r="BX54" s="392">
        <v>747.80399999999997</v>
      </c>
      <c r="BY54" s="392">
        <v>635.30399999999997</v>
      </c>
      <c r="BZ54" s="392">
        <v>732.96600000000001</v>
      </c>
      <c r="CA54" s="392">
        <v>683.10599999999999</v>
      </c>
      <c r="CB54" s="392">
        <v>680.322</v>
      </c>
      <c r="CC54" s="392">
        <v>714.21</v>
      </c>
      <c r="CD54" s="392">
        <v>661.16399999999999</v>
      </c>
      <c r="CE54" s="392">
        <v>772.27199999999993</v>
      </c>
      <c r="CF54" s="392">
        <v>764.04599999999994</v>
      </c>
      <c r="CG54" s="392">
        <v>671.53199999999993</v>
      </c>
      <c r="CH54" s="392">
        <v>670.27200000000005</v>
      </c>
      <c r="CI54" s="392">
        <v>630.93000000000006</v>
      </c>
      <c r="CJ54" s="392">
        <v>610.0440000000001</v>
      </c>
      <c r="CK54" s="392">
        <v>742.17599999999993</v>
      </c>
      <c r="CL54" s="392">
        <v>694.21199999999999</v>
      </c>
      <c r="CM54" s="392">
        <v>718.48800000000006</v>
      </c>
      <c r="CN54" s="392">
        <v>832.428</v>
      </c>
      <c r="CO54" s="392">
        <v>800.46</v>
      </c>
      <c r="CP54" s="392">
        <v>800.77199999999993</v>
      </c>
      <c r="CQ54" s="392">
        <v>765.26400000000001</v>
      </c>
      <c r="CR54" s="392">
        <v>679.21800000000007</v>
      </c>
      <c r="CS54" s="392">
        <v>680.61</v>
      </c>
      <c r="CT54" s="392">
        <v>628.87199999999996</v>
      </c>
      <c r="CU54" s="392">
        <v>644.5440000000001</v>
      </c>
      <c r="CV54" s="392">
        <v>698.41800000000001</v>
      </c>
      <c r="CW54" s="392">
        <v>690.40800000000002</v>
      </c>
      <c r="CX54" s="392">
        <v>826.23599999999988</v>
      </c>
      <c r="CY54" s="392">
        <v>791.6880000000001</v>
      </c>
      <c r="CZ54" s="392">
        <v>881.81999999999994</v>
      </c>
      <c r="DA54" s="392">
        <v>867.18000000000006</v>
      </c>
      <c r="DB54" s="392">
        <v>869.80799999999999</v>
      </c>
      <c r="DC54" s="392">
        <v>874.43399999999997</v>
      </c>
      <c r="DD54" s="392">
        <v>777.27599999999995</v>
      </c>
      <c r="DE54" s="392">
        <v>779.08200000000011</v>
      </c>
      <c r="DF54" s="392">
        <v>698.16</v>
      </c>
      <c r="DG54" s="392">
        <v>704.20799999999997</v>
      </c>
      <c r="DH54" s="392">
        <v>777.44400000000007</v>
      </c>
      <c r="DI54" s="392">
        <v>758.52</v>
      </c>
      <c r="DJ54" s="392">
        <v>815.82600000000002</v>
      </c>
      <c r="DK54" s="392">
        <v>819.70799999999997</v>
      </c>
      <c r="DL54" s="392">
        <v>857.94</v>
      </c>
      <c r="DM54" s="392">
        <v>955.44</v>
      </c>
      <c r="DN54" s="392">
        <v>847.19999999999993</v>
      </c>
      <c r="DO54" s="392">
        <v>788.56799999999998</v>
      </c>
      <c r="DP54" s="392">
        <v>747.2940000000001</v>
      </c>
      <c r="DQ54" s="392">
        <v>659.01</v>
      </c>
      <c r="DR54" s="392">
        <v>641.85599999999999</v>
      </c>
      <c r="DS54" s="392">
        <v>638.31000000000006</v>
      </c>
      <c r="DT54" s="392">
        <v>750.16200000000003</v>
      </c>
      <c r="DU54" s="392">
        <v>712.88400000000001</v>
      </c>
      <c r="DV54" s="392">
        <v>814.77</v>
      </c>
      <c r="DW54" s="392">
        <v>812.29200000000003</v>
      </c>
      <c r="DX54" s="392">
        <v>926.11200000000008</v>
      </c>
      <c r="DY54" s="392">
        <v>1134.2759999999998</v>
      </c>
      <c r="DZ54" s="392">
        <v>919.99199999999996</v>
      </c>
      <c r="EA54" s="392">
        <v>880.37400000000002</v>
      </c>
      <c r="EB54" s="392">
        <v>841.92</v>
      </c>
      <c r="EC54" s="392">
        <v>706.37400000000002</v>
      </c>
      <c r="ED54" s="392">
        <v>801.79200000000003</v>
      </c>
      <c r="EE54" s="392">
        <v>842.40000000000009</v>
      </c>
      <c r="EF54" s="392">
        <v>868.0440000000001</v>
      </c>
      <c r="EG54" s="392">
        <v>796.55399999999986</v>
      </c>
      <c r="EH54" s="392">
        <v>821.5440000000001</v>
      </c>
      <c r="EI54" s="392">
        <v>815.88599999999997</v>
      </c>
      <c r="EJ54" s="392">
        <v>836.67</v>
      </c>
      <c r="EK54" s="392">
        <v>837.76200000000006</v>
      </c>
      <c r="EL54" s="392">
        <v>885.58800000000008</v>
      </c>
      <c r="EM54" s="392">
        <v>891.46199999999999</v>
      </c>
      <c r="EN54" s="392">
        <v>1058.7719999999999</v>
      </c>
      <c r="EO54" s="392">
        <v>933.43200000000002</v>
      </c>
      <c r="EP54" s="392">
        <v>917.71199999999999</v>
      </c>
      <c r="EQ54" s="392">
        <v>895.33200000000011</v>
      </c>
      <c r="ER54" s="392">
        <v>908.45399999999995</v>
      </c>
      <c r="ES54" s="392">
        <v>874.92</v>
      </c>
      <c r="ET54" s="392">
        <v>913.62599999999998</v>
      </c>
      <c r="EU54" s="392">
        <v>914.02800000000002</v>
      </c>
      <c r="EV54" s="392">
        <v>987.10799999999995</v>
      </c>
      <c r="EW54" s="392">
        <v>1172.682</v>
      </c>
      <c r="EX54" s="392">
        <v>1029.9479999999999</v>
      </c>
      <c r="EY54" s="392">
        <v>1079.3820000000001</v>
      </c>
      <c r="EZ54" s="392">
        <v>1060.164</v>
      </c>
      <c r="FA54" s="392">
        <v>866.53199999999993</v>
      </c>
      <c r="FB54" s="392">
        <v>789.08999999999992</v>
      </c>
      <c r="FC54" s="392">
        <v>786.30599999999993</v>
      </c>
      <c r="FD54" s="392">
        <v>853.08</v>
      </c>
      <c r="FE54" s="392">
        <v>804.94200000000001</v>
      </c>
      <c r="FF54" s="392">
        <v>838.9559999999999</v>
      </c>
      <c r="FG54" s="392">
        <v>800.25</v>
      </c>
      <c r="FH54" s="392">
        <v>758.18999999999994</v>
      </c>
      <c r="FI54" s="392">
        <v>736.32600000000002</v>
      </c>
      <c r="FJ54" s="392">
        <v>678.28800000000001</v>
      </c>
      <c r="FK54" s="392">
        <v>744.87599999999998</v>
      </c>
      <c r="FL54" s="392">
        <v>709.11599999999999</v>
      </c>
      <c r="FM54" s="392">
        <v>649.92599999999993</v>
      </c>
      <c r="FN54" s="392">
        <v>595.62599999999998</v>
      </c>
      <c r="FO54" s="392">
        <v>573.97199999999998</v>
      </c>
      <c r="FP54" s="392">
        <v>604.51800000000003</v>
      </c>
      <c r="FQ54" s="392">
        <v>590.61</v>
      </c>
      <c r="FR54" s="392">
        <v>593.61</v>
      </c>
      <c r="FS54" s="392">
        <v>624.37199999999996</v>
      </c>
      <c r="FT54" s="392">
        <v>607.9559999999999</v>
      </c>
      <c r="FU54" s="392">
        <v>661.16399999999999</v>
      </c>
      <c r="FV54" s="392">
        <v>637.09199999999998</v>
      </c>
      <c r="FW54" s="392">
        <v>597.26400000000001</v>
      </c>
      <c r="FX54" s="392">
        <v>614.04</v>
      </c>
      <c r="FY54" s="392">
        <v>563.10599999999999</v>
      </c>
      <c r="FZ54" s="392">
        <v>499.30200000000002</v>
      </c>
      <c r="GA54" s="392">
        <v>562.2059999999999</v>
      </c>
      <c r="GB54" s="392">
        <v>566.18399999999997</v>
      </c>
      <c r="GC54" s="392">
        <v>499.74</v>
      </c>
      <c r="GD54" s="392">
        <v>518.97</v>
      </c>
      <c r="GE54" s="392">
        <v>507.76800000000003</v>
      </c>
      <c r="GF54" s="392">
        <v>515.91</v>
      </c>
      <c r="GG54" s="392">
        <v>565.56600000000003</v>
      </c>
      <c r="GH54" s="392">
        <v>533.32799999999997</v>
      </c>
      <c r="GI54" s="392">
        <v>592.30200000000002</v>
      </c>
      <c r="GJ54" s="392">
        <v>534.10199999999998</v>
      </c>
      <c r="GK54" s="392">
        <v>433.76400000000001</v>
      </c>
      <c r="GL54" s="392">
        <v>435.60599999999999</v>
      </c>
      <c r="GM54" s="392">
        <v>412.17599999999999</v>
      </c>
      <c r="GN54" s="392">
        <v>451.19399999999996</v>
      </c>
      <c r="GO54" s="392">
        <v>478.29599999999994</v>
      </c>
      <c r="GP54" s="392">
        <v>558.96</v>
      </c>
      <c r="GQ54" s="392">
        <v>526.34400000000005</v>
      </c>
      <c r="GR54" s="392">
        <v>521.94600000000003</v>
      </c>
      <c r="GS54" s="392">
        <v>599.59199999999998</v>
      </c>
      <c r="GT54" s="392">
        <v>529.10400000000004</v>
      </c>
      <c r="GU54" s="392">
        <v>602.75400000000002</v>
      </c>
      <c r="GV54" s="392">
        <v>596.50199999999995</v>
      </c>
      <c r="GW54" s="392">
        <v>481.09199999999998</v>
      </c>
      <c r="GX54" s="392">
        <v>550.25400000000002</v>
      </c>
      <c r="GY54" s="392">
        <v>508.24799999999999</v>
      </c>
      <c r="GZ54" s="392">
        <v>589.63200000000006</v>
      </c>
      <c r="HA54" s="392">
        <v>548.51400000000001</v>
      </c>
      <c r="HB54" s="392">
        <v>603.99599999999998</v>
      </c>
      <c r="HC54" s="392">
        <v>669.39599999999996</v>
      </c>
      <c r="HD54" s="392">
        <v>672.06600000000003</v>
      </c>
      <c r="HE54" s="392">
        <v>702.85199999999998</v>
      </c>
      <c r="HF54" s="392">
        <v>642.25800000000004</v>
      </c>
      <c r="HG54" s="392">
        <v>633.36599999999999</v>
      </c>
      <c r="HH54" s="392">
        <v>591.78600000000006</v>
      </c>
      <c r="HI54" s="392">
        <v>566.93999999999994</v>
      </c>
      <c r="HJ54" s="392">
        <v>554.43000000000006</v>
      </c>
      <c r="HK54" s="392">
        <v>508.72200000000004</v>
      </c>
      <c r="HL54" s="392">
        <v>544.90199999999993</v>
      </c>
      <c r="HM54" s="392">
        <v>534.89400000000001</v>
      </c>
      <c r="HN54" s="392">
        <v>730.18200000000002</v>
      </c>
      <c r="HO54" s="392">
        <v>688.22399999999993</v>
      </c>
      <c r="HP54" s="444">
        <v>682.35599999999999</v>
      </c>
      <c r="HQ54" s="444">
        <v>710.82600000000002</v>
      </c>
      <c r="HR54" s="444">
        <v>813.02399999999989</v>
      </c>
      <c r="HS54" s="444">
        <v>687.75600000000009</v>
      </c>
      <c r="HT54" s="444">
        <v>657.37800000000004</v>
      </c>
      <c r="HU54" s="444">
        <v>592.54200000000003</v>
      </c>
      <c r="HV54" s="392">
        <v>608.67599999999993</v>
      </c>
      <c r="HW54" s="392">
        <v>632.86799999999994</v>
      </c>
      <c r="HX54" s="392">
        <v>620.33399999999995</v>
      </c>
      <c r="HY54" s="392">
        <v>547.07400000000007</v>
      </c>
      <c r="HZ54" s="392">
        <v>582.20400000000006</v>
      </c>
      <c r="IA54" s="392">
        <v>607.83600000000001</v>
      </c>
      <c r="IB54" s="392">
        <v>580.05600000000004</v>
      </c>
      <c r="IC54" s="392">
        <v>691.33199999999999</v>
      </c>
      <c r="ID54" s="392">
        <v>573.68999999999994</v>
      </c>
      <c r="IE54" s="392">
        <v>654.43799999999999</v>
      </c>
      <c r="IF54" s="392">
        <v>573.15599999999995</v>
      </c>
      <c r="IG54" s="392">
        <v>521.70000000000005</v>
      </c>
      <c r="IH54" s="392">
        <v>523.26599999999996</v>
      </c>
      <c r="II54" s="392">
        <v>705.61200000000008</v>
      </c>
      <c r="IJ54" s="392">
        <v>634.47</v>
      </c>
      <c r="IK54" s="392">
        <v>615.91200000000003</v>
      </c>
      <c r="IL54" s="392">
        <v>726.30600000000004</v>
      </c>
      <c r="IM54" s="392">
        <v>665.95799999999997</v>
      </c>
      <c r="IN54" s="444">
        <v>710.71199999999999</v>
      </c>
      <c r="IO54" s="444">
        <v>741.40199999999993</v>
      </c>
      <c r="IP54" s="444">
        <v>733.30799999999999</v>
      </c>
      <c r="IQ54" s="444">
        <v>750.31799999999998</v>
      </c>
      <c r="IR54" s="444">
        <v>775.62000000000012</v>
      </c>
      <c r="IS54" s="444">
        <v>665.79</v>
      </c>
      <c r="IT54" s="444">
        <v>708.678</v>
      </c>
      <c r="IU54" s="444">
        <v>789.71399999999994</v>
      </c>
      <c r="IV54" s="444">
        <v>1109.0219999999999</v>
      </c>
      <c r="IW54" s="445">
        <v>968.21199999999999</v>
      </c>
      <c r="IX54" s="445">
        <v>1074.384</v>
      </c>
      <c r="IY54" s="445">
        <v>1026.9839999999999</v>
      </c>
      <c r="IZ54" s="445">
        <v>921.53399999999999</v>
      </c>
      <c r="JA54" s="445">
        <v>973.13599999999997</v>
      </c>
      <c r="JB54" s="445">
        <v>1101.106</v>
      </c>
      <c r="JC54" s="445">
        <v>1013.114</v>
      </c>
      <c r="JD54" s="445">
        <v>1057.126</v>
      </c>
      <c r="JE54" s="446">
        <v>1171.808</v>
      </c>
    </row>
    <row r="55" spans="1:669" x14ac:dyDescent="0.3">
      <c r="A55" s="394" t="s">
        <v>93</v>
      </c>
      <c r="B55" s="395">
        <v>1239.5880000000002</v>
      </c>
      <c r="C55" s="395">
        <v>1281.06</v>
      </c>
      <c r="D55" s="395">
        <v>1440.5520000000001</v>
      </c>
      <c r="E55" s="395">
        <v>1374.5039999999999</v>
      </c>
      <c r="F55" s="395">
        <v>1479.6120000000001</v>
      </c>
      <c r="G55" s="395">
        <v>1417.818</v>
      </c>
      <c r="H55" s="395">
        <v>1453.914</v>
      </c>
      <c r="I55" s="395">
        <v>1487.508</v>
      </c>
      <c r="J55" s="395">
        <v>1454.7240000000002</v>
      </c>
      <c r="K55" s="395">
        <v>1442.7059999999999</v>
      </c>
      <c r="L55" s="395">
        <v>1408.212</v>
      </c>
      <c r="M55" s="395">
        <v>1254.684</v>
      </c>
      <c r="N55" s="395">
        <v>1338.21</v>
      </c>
      <c r="O55" s="395">
        <v>1280.1179999999999</v>
      </c>
      <c r="P55" s="395">
        <v>1354.23</v>
      </c>
      <c r="Q55" s="395">
        <v>1310.4119999999998</v>
      </c>
      <c r="R55" s="395">
        <v>1232.106</v>
      </c>
      <c r="S55" s="395">
        <v>1310.664</v>
      </c>
      <c r="T55" s="395">
        <v>1484.04</v>
      </c>
      <c r="U55" s="395">
        <v>1395.42</v>
      </c>
      <c r="V55" s="395">
        <v>1351.086</v>
      </c>
      <c r="W55" s="395">
        <v>1487.5140000000001</v>
      </c>
      <c r="X55" s="395">
        <v>1460.67</v>
      </c>
      <c r="Y55" s="395">
        <v>1229.7359999999999</v>
      </c>
      <c r="Z55" s="395">
        <v>1166.3399999999999</v>
      </c>
      <c r="AA55" s="395">
        <v>1163.1960000000001</v>
      </c>
      <c r="AB55" s="395">
        <v>1289.664</v>
      </c>
      <c r="AC55" s="395">
        <v>1263.7860000000001</v>
      </c>
      <c r="AD55" s="395">
        <v>1313.4059999999999</v>
      </c>
      <c r="AE55" s="395">
        <v>1257.7379999999998</v>
      </c>
      <c r="AF55" s="395">
        <v>1362.1320000000001</v>
      </c>
      <c r="AG55" s="395">
        <v>1290.0899999999999</v>
      </c>
      <c r="AH55" s="395">
        <v>1311.354</v>
      </c>
      <c r="AI55" s="395">
        <v>1397.2439999999999</v>
      </c>
      <c r="AJ55" s="395">
        <v>1342.2359999999999</v>
      </c>
      <c r="AK55" s="395">
        <v>1293.2640000000001</v>
      </c>
      <c r="AL55" s="395">
        <v>1208.328</v>
      </c>
      <c r="AM55" s="395">
        <v>1341.6299999999999</v>
      </c>
      <c r="AN55" s="395">
        <v>1462.4580000000001</v>
      </c>
      <c r="AO55" s="395">
        <v>1336.038</v>
      </c>
      <c r="AP55" s="395">
        <v>1411.374</v>
      </c>
      <c r="AQ55" s="395">
        <v>1581.2820000000002</v>
      </c>
      <c r="AR55" s="395">
        <v>1527.4680000000001</v>
      </c>
      <c r="AS55" s="395">
        <v>1630.3739999999998</v>
      </c>
      <c r="AT55" s="395">
        <v>1660.6860000000001</v>
      </c>
      <c r="AU55" s="395">
        <v>1703.742</v>
      </c>
      <c r="AV55" s="395">
        <v>1676.6999999999998</v>
      </c>
      <c r="AW55" s="395">
        <v>1567.9379999999999</v>
      </c>
      <c r="AX55" s="395">
        <v>1472.7059999999999</v>
      </c>
      <c r="AY55" s="395">
        <v>1546.2360000000001</v>
      </c>
      <c r="AZ55" s="395">
        <v>1636.0859999999998</v>
      </c>
      <c r="BA55" s="395">
        <v>1669.4459999999999</v>
      </c>
      <c r="BB55" s="395">
        <v>1817.904</v>
      </c>
      <c r="BC55" s="395">
        <v>1723.8779999999999</v>
      </c>
      <c r="BD55" s="395">
        <v>1740.2400000000002</v>
      </c>
      <c r="BE55" s="395">
        <v>1869.4860000000001</v>
      </c>
      <c r="BF55" s="395">
        <v>1854.8820000000001</v>
      </c>
      <c r="BG55" s="395">
        <v>1960.7639999999999</v>
      </c>
      <c r="BH55" s="395">
        <v>1943.0639999999999</v>
      </c>
      <c r="BI55" s="395">
        <v>1688.8980000000001</v>
      </c>
      <c r="BJ55" s="395">
        <v>1554.4260000000002</v>
      </c>
      <c r="BK55" s="395">
        <v>1530.2640000000001</v>
      </c>
      <c r="BL55" s="395">
        <v>1757.058</v>
      </c>
      <c r="BM55" s="395">
        <v>1708.4580000000001</v>
      </c>
      <c r="BN55" s="395">
        <v>1669.152</v>
      </c>
      <c r="BO55" s="395">
        <v>1689.3420000000001</v>
      </c>
      <c r="BP55" s="395">
        <v>1624.596</v>
      </c>
      <c r="BQ55" s="395">
        <v>1720.1040000000003</v>
      </c>
      <c r="BR55" s="395">
        <v>1590.0720000000001</v>
      </c>
      <c r="BS55" s="395">
        <v>1631.4119999999998</v>
      </c>
      <c r="BT55" s="395">
        <v>1693.0139999999999</v>
      </c>
      <c r="BU55" s="395">
        <v>1501.6679999999999</v>
      </c>
      <c r="BV55" s="395">
        <v>1548.7919999999999</v>
      </c>
      <c r="BW55" s="395">
        <v>1576.578</v>
      </c>
      <c r="BX55" s="395">
        <v>1618.0439999999999</v>
      </c>
      <c r="BY55" s="395">
        <v>1621.4580000000001</v>
      </c>
      <c r="BZ55" s="395">
        <v>1772.7060000000001</v>
      </c>
      <c r="CA55" s="395">
        <v>1660.2840000000001</v>
      </c>
      <c r="CB55" s="395">
        <v>1752.8220000000001</v>
      </c>
      <c r="CC55" s="395">
        <v>1858.248</v>
      </c>
      <c r="CD55" s="395">
        <v>1892.6459999999997</v>
      </c>
      <c r="CE55" s="395">
        <v>1690.5840000000001</v>
      </c>
      <c r="CF55" s="395">
        <v>1808.4360000000001</v>
      </c>
      <c r="CG55" s="395">
        <v>1724.856</v>
      </c>
      <c r="CH55" s="395">
        <v>1756.3440000000001</v>
      </c>
      <c r="CI55" s="395">
        <v>1777.1220000000001</v>
      </c>
      <c r="CJ55" s="395">
        <v>1773.81</v>
      </c>
      <c r="CK55" s="395">
        <v>1852.8600000000001</v>
      </c>
      <c r="CL55" s="395">
        <v>2010.546</v>
      </c>
      <c r="CM55" s="395">
        <v>1845.654</v>
      </c>
      <c r="CN55" s="395">
        <v>2079.9480000000003</v>
      </c>
      <c r="CO55" s="395">
        <v>2194.89</v>
      </c>
      <c r="CP55" s="395">
        <v>2105.9520000000002</v>
      </c>
      <c r="CQ55" s="395">
        <v>2221.14</v>
      </c>
      <c r="CR55" s="395">
        <v>2118.3720000000003</v>
      </c>
      <c r="CS55" s="395">
        <v>2155.3620000000001</v>
      </c>
      <c r="CT55" s="395">
        <v>2275.7280000000001</v>
      </c>
      <c r="CU55" s="395">
        <v>2249.0519999999997</v>
      </c>
      <c r="CV55" s="395">
        <v>2024.106</v>
      </c>
      <c r="CW55" s="395">
        <v>1853.04</v>
      </c>
      <c r="CX55" s="395">
        <v>2027.1659999999999</v>
      </c>
      <c r="CY55" s="395">
        <v>1938.018</v>
      </c>
      <c r="CZ55" s="395">
        <v>2013.6239999999998</v>
      </c>
      <c r="DA55" s="395">
        <v>2016.954</v>
      </c>
      <c r="DB55" s="395">
        <v>1942.386</v>
      </c>
      <c r="DC55" s="395">
        <v>1981.2539999999999</v>
      </c>
      <c r="DD55" s="395">
        <v>1946.3040000000001</v>
      </c>
      <c r="DE55" s="395">
        <v>1962.2820000000002</v>
      </c>
      <c r="DF55" s="395">
        <v>1866.21</v>
      </c>
      <c r="DG55" s="395">
        <v>1879.44</v>
      </c>
      <c r="DH55" s="395">
        <v>2087.6999999999998</v>
      </c>
      <c r="DI55" s="395">
        <v>2067.7919999999999</v>
      </c>
      <c r="DJ55" s="395">
        <v>2258.826</v>
      </c>
      <c r="DK55" s="395">
        <v>2339.6640000000002</v>
      </c>
      <c r="DL55" s="395">
        <v>2380.6440000000002</v>
      </c>
      <c r="DM55" s="395">
        <v>2718.5099999999998</v>
      </c>
      <c r="DN55" s="395">
        <v>2647.7159999999999</v>
      </c>
      <c r="DO55" s="395">
        <v>2848.9859999999999</v>
      </c>
      <c r="DP55" s="395">
        <v>2784.192</v>
      </c>
      <c r="DQ55" s="395">
        <v>2699.5680000000002</v>
      </c>
      <c r="DR55" s="395">
        <v>2693.3999999999996</v>
      </c>
      <c r="DS55" s="395">
        <v>2711.5859999999998</v>
      </c>
      <c r="DT55" s="395">
        <v>3149.7179999999998</v>
      </c>
      <c r="DU55" s="395">
        <v>3030.7620000000002</v>
      </c>
      <c r="DV55" s="395">
        <v>3305.6760000000004</v>
      </c>
      <c r="DW55" s="395">
        <v>3253.8119999999999</v>
      </c>
      <c r="DX55" s="395">
        <v>3369.462</v>
      </c>
      <c r="DY55" s="395">
        <v>3604.8720000000003</v>
      </c>
      <c r="DZ55" s="395">
        <v>3259.9260000000004</v>
      </c>
      <c r="EA55" s="395">
        <v>3413.8620000000001</v>
      </c>
      <c r="EB55" s="395">
        <v>3218.19</v>
      </c>
      <c r="EC55" s="395">
        <v>2874.654</v>
      </c>
      <c r="ED55" s="395">
        <v>2853.576</v>
      </c>
      <c r="EE55" s="395">
        <v>2905.6019999999999</v>
      </c>
      <c r="EF55" s="395">
        <v>3225.384</v>
      </c>
      <c r="EG55" s="395">
        <v>2879.3339999999998</v>
      </c>
      <c r="EH55" s="395">
        <v>3190.1099999999997</v>
      </c>
      <c r="EI55" s="395">
        <v>2877.1079999999997</v>
      </c>
      <c r="EJ55" s="395">
        <v>2931.48</v>
      </c>
      <c r="EK55" s="395">
        <v>2855.0639999999999</v>
      </c>
      <c r="EL55" s="395">
        <v>2747.6819999999998</v>
      </c>
      <c r="EM55" s="395">
        <v>2933.1179999999999</v>
      </c>
      <c r="EN55" s="395">
        <v>2619.4920000000002</v>
      </c>
      <c r="EO55" s="395">
        <v>2427.4859999999999</v>
      </c>
      <c r="EP55" s="395">
        <v>2521.5360000000001</v>
      </c>
      <c r="EQ55" s="395">
        <v>2428.6019999999999</v>
      </c>
      <c r="ER55" s="395">
        <v>2651.2740000000003</v>
      </c>
      <c r="ES55" s="395">
        <v>2577.4260000000004</v>
      </c>
      <c r="ET55" s="395">
        <v>2967.2400000000002</v>
      </c>
      <c r="EU55" s="395">
        <v>2658.3359999999998</v>
      </c>
      <c r="EV55" s="395">
        <v>2741.52</v>
      </c>
      <c r="EW55" s="395">
        <v>2667.8999999999996</v>
      </c>
      <c r="EX55" s="395">
        <v>2613.366</v>
      </c>
      <c r="EY55" s="395">
        <v>2834.0219999999999</v>
      </c>
      <c r="EZ55" s="395">
        <v>2693.5619999999999</v>
      </c>
      <c r="FA55" s="395">
        <v>2529.6959999999999</v>
      </c>
      <c r="FB55" s="395">
        <v>2545.1459999999997</v>
      </c>
      <c r="FC55" s="395">
        <v>2373.06</v>
      </c>
      <c r="FD55" s="395">
        <v>2402.0880000000002</v>
      </c>
      <c r="FE55" s="395">
        <v>2289.9180000000001</v>
      </c>
      <c r="FF55" s="395">
        <v>2439.0059999999999</v>
      </c>
      <c r="FG55" s="395">
        <v>2452.194</v>
      </c>
      <c r="FH55" s="395">
        <v>2468.8200000000002</v>
      </c>
      <c r="FI55" s="395">
        <v>2251.6260000000002</v>
      </c>
      <c r="FJ55" s="395">
        <v>2364.2579999999998</v>
      </c>
      <c r="FK55" s="395">
        <v>2370.0240000000003</v>
      </c>
      <c r="FL55" s="395">
        <v>2366.4059999999999</v>
      </c>
      <c r="FM55" s="395">
        <v>2167.944</v>
      </c>
      <c r="FN55" s="395">
        <v>2035.44</v>
      </c>
      <c r="FO55" s="395">
        <v>2061.576</v>
      </c>
      <c r="FP55" s="395">
        <v>2137.0859999999998</v>
      </c>
      <c r="FQ55" s="395">
        <v>1984.152</v>
      </c>
      <c r="FR55" s="395">
        <v>1965.7140000000002</v>
      </c>
      <c r="FS55" s="395">
        <v>1949.5859999999998</v>
      </c>
      <c r="FT55" s="395">
        <v>1925.826</v>
      </c>
      <c r="FU55" s="395">
        <v>2124.636</v>
      </c>
      <c r="FV55" s="395">
        <v>2061.672</v>
      </c>
      <c r="FW55" s="395">
        <v>2104.83</v>
      </c>
      <c r="FX55" s="395">
        <v>2271.9960000000001</v>
      </c>
      <c r="FY55" s="395">
        <v>2140.4700000000003</v>
      </c>
      <c r="FZ55" s="395">
        <v>1979.856</v>
      </c>
      <c r="GA55" s="395">
        <v>1818.606</v>
      </c>
      <c r="GB55" s="395">
        <v>1761.72</v>
      </c>
      <c r="GC55" s="395">
        <v>1577.508</v>
      </c>
      <c r="GD55" s="395">
        <v>1781.616</v>
      </c>
      <c r="GE55" s="395">
        <v>1760.91</v>
      </c>
      <c r="GF55" s="395">
        <v>1673.0880000000002</v>
      </c>
      <c r="GG55" s="395">
        <v>1843.6619999999998</v>
      </c>
      <c r="GH55" s="395">
        <v>1684.8420000000001</v>
      </c>
      <c r="GI55" s="395">
        <v>1659.5940000000001</v>
      </c>
      <c r="GJ55" s="395">
        <v>1657.5660000000003</v>
      </c>
      <c r="GK55" s="395">
        <v>1573.8899999999999</v>
      </c>
      <c r="GL55" s="395">
        <v>1609.0139999999999</v>
      </c>
      <c r="GM55" s="395">
        <v>1697.6579999999999</v>
      </c>
      <c r="GN55" s="395">
        <v>1973.652</v>
      </c>
      <c r="GO55" s="395">
        <v>1865.8920000000003</v>
      </c>
      <c r="GP55" s="395">
        <v>1956.546</v>
      </c>
      <c r="GQ55" s="395">
        <v>1972.5540000000001</v>
      </c>
      <c r="GR55" s="395">
        <v>1791.8519999999999</v>
      </c>
      <c r="GS55" s="395">
        <v>2068.0680000000002</v>
      </c>
      <c r="GT55" s="395">
        <v>2148.81</v>
      </c>
      <c r="GU55" s="395">
        <v>2250.8820000000001</v>
      </c>
      <c r="GV55" s="395">
        <v>2275.944</v>
      </c>
      <c r="GW55" s="395">
        <v>2078.3339999999998</v>
      </c>
      <c r="GX55" s="395">
        <v>2093.0340000000001</v>
      </c>
      <c r="GY55" s="395">
        <v>2058.3779999999997</v>
      </c>
      <c r="GZ55" s="395">
        <v>2175.9839999999999</v>
      </c>
      <c r="HA55" s="395">
        <v>2200.8359999999998</v>
      </c>
      <c r="HB55" s="395">
        <v>2219.6579999999999</v>
      </c>
      <c r="HC55" s="395">
        <v>2148.828</v>
      </c>
      <c r="HD55" s="395">
        <v>2403.0240000000003</v>
      </c>
      <c r="HE55" s="395">
        <v>2388.6480000000001</v>
      </c>
      <c r="HF55" s="395">
        <v>2155.212</v>
      </c>
      <c r="HG55" s="395">
        <v>2275.08</v>
      </c>
      <c r="HH55" s="395">
        <v>2249.4719999999998</v>
      </c>
      <c r="HI55" s="395">
        <v>2111.9759999999997</v>
      </c>
      <c r="HJ55" s="395">
        <v>2240.886</v>
      </c>
      <c r="HK55" s="395">
        <v>2221.6619999999998</v>
      </c>
      <c r="HL55" s="395">
        <v>2290.5299999999997</v>
      </c>
      <c r="HM55" s="395">
        <v>2199.6959999999999</v>
      </c>
      <c r="HN55" s="395">
        <v>2381.4180000000001</v>
      </c>
      <c r="HO55" s="395">
        <v>2123.4180000000001</v>
      </c>
      <c r="HP55" s="395">
        <v>2370.444</v>
      </c>
      <c r="HQ55" s="395">
        <v>2181.4260000000004</v>
      </c>
      <c r="HR55" s="395">
        <v>2203.0079999999998</v>
      </c>
      <c r="HS55" s="395">
        <v>2187.87</v>
      </c>
      <c r="HT55" s="395">
        <v>2355.558</v>
      </c>
      <c r="HU55" s="395">
        <v>2340.6839999999997</v>
      </c>
      <c r="HV55" s="395">
        <v>2273.4180000000001</v>
      </c>
      <c r="HW55" s="395">
        <v>2306.328</v>
      </c>
      <c r="HX55" s="395">
        <v>2320.6320000000001</v>
      </c>
      <c r="HY55" s="395">
        <v>2200.4700000000003</v>
      </c>
      <c r="HZ55" s="395">
        <v>2270.4780000000001</v>
      </c>
      <c r="IA55" s="395">
        <v>2328.0479999999998</v>
      </c>
      <c r="IB55" s="395">
        <v>2475.8760000000002</v>
      </c>
      <c r="IC55" s="395">
        <v>2754.1559999999999</v>
      </c>
      <c r="ID55" s="395">
        <v>2596.5360000000001</v>
      </c>
      <c r="IE55" s="395">
        <v>2605.578</v>
      </c>
      <c r="IF55" s="395">
        <v>2620.5660000000003</v>
      </c>
      <c r="IG55" s="395">
        <v>2764.5360000000001</v>
      </c>
      <c r="IH55" s="395">
        <v>2892.828</v>
      </c>
      <c r="II55" s="395">
        <v>2729.1420000000003</v>
      </c>
      <c r="IJ55" s="395">
        <v>3050.4719999999998</v>
      </c>
      <c r="IK55" s="395">
        <v>2860.6559999999999</v>
      </c>
      <c r="IL55" s="395">
        <v>3049.8</v>
      </c>
      <c r="IM55" s="395">
        <v>3059.19</v>
      </c>
      <c r="IN55" s="15">
        <v>3041.5680000000002</v>
      </c>
      <c r="IO55" s="15">
        <v>3122.8019999999997</v>
      </c>
      <c r="IP55" s="15">
        <v>2887.4580000000001</v>
      </c>
      <c r="IQ55" s="15">
        <v>2934.576</v>
      </c>
      <c r="IR55" s="15">
        <v>2803.08</v>
      </c>
      <c r="IS55" s="15">
        <v>2620.7939999999999</v>
      </c>
      <c r="IT55" s="15">
        <v>2611.788</v>
      </c>
      <c r="IU55" s="15">
        <v>2645.8920000000003</v>
      </c>
      <c r="IV55" s="15">
        <v>2845.08</v>
      </c>
      <c r="IW55" s="15">
        <v>2244.8380000000002</v>
      </c>
      <c r="IX55" s="15">
        <v>2534.41</v>
      </c>
      <c r="IY55" s="15">
        <v>2744.002</v>
      </c>
      <c r="IZ55" s="15">
        <v>3315.3159999999998</v>
      </c>
      <c r="JA55" s="15">
        <v>3957.6779999999999</v>
      </c>
      <c r="JB55" s="15">
        <v>3706.53</v>
      </c>
      <c r="JC55" s="15">
        <v>3516.1460000000002</v>
      </c>
      <c r="JD55" s="15">
        <v>3495.5720000000001</v>
      </c>
      <c r="JE55" s="447">
        <v>3641.8240000000001</v>
      </c>
    </row>
    <row r="56" spans="1:669" ht="15" thickBot="1" x14ac:dyDescent="0.35">
      <c r="A56" s="448" t="s">
        <v>117</v>
      </c>
      <c r="B56" s="449">
        <v>40167.18</v>
      </c>
      <c r="C56" s="449">
        <v>39917.67</v>
      </c>
      <c r="D56" s="449">
        <v>45839.520000000004</v>
      </c>
      <c r="E56" s="449">
        <v>41703.072</v>
      </c>
      <c r="F56" s="449">
        <v>44205.258000000002</v>
      </c>
      <c r="G56" s="449">
        <v>43146.486000000004</v>
      </c>
      <c r="H56" s="449">
        <v>43612.47</v>
      </c>
      <c r="I56" s="449">
        <v>44714.561999999998</v>
      </c>
      <c r="J56" s="449">
        <v>42404.585999999996</v>
      </c>
      <c r="K56" s="449">
        <v>43806.899999999994</v>
      </c>
      <c r="L56" s="449">
        <v>44061.51</v>
      </c>
      <c r="M56" s="449">
        <v>42315.881999999998</v>
      </c>
      <c r="N56" s="449">
        <v>42612.671999999999</v>
      </c>
      <c r="O56" s="449">
        <v>39013.164000000004</v>
      </c>
      <c r="P56" s="449">
        <v>42429.804000000004</v>
      </c>
      <c r="Q56" s="449">
        <v>41073.474000000002</v>
      </c>
      <c r="R56" s="449">
        <v>41345.07</v>
      </c>
      <c r="S56" s="449">
        <v>39549.894</v>
      </c>
      <c r="T56" s="449">
        <v>42973.32</v>
      </c>
      <c r="U56" s="449">
        <v>41163.983999999997</v>
      </c>
      <c r="V56" s="449">
        <v>42477.023999999998</v>
      </c>
      <c r="W56" s="449">
        <v>43224.408000000003</v>
      </c>
      <c r="X56" s="449">
        <v>43374.972000000002</v>
      </c>
      <c r="Y56" s="449">
        <v>41941.523999999998</v>
      </c>
      <c r="Z56" s="449">
        <v>41638.433999999994</v>
      </c>
      <c r="AA56" s="449">
        <v>41160.966</v>
      </c>
      <c r="AB56" s="449">
        <v>44991.479999999996</v>
      </c>
      <c r="AC56" s="449">
        <v>42653.850000000006</v>
      </c>
      <c r="AD56" s="449">
        <v>45612.81</v>
      </c>
      <c r="AE56" s="449">
        <v>43746.42</v>
      </c>
      <c r="AF56" s="449">
        <v>45563.813999999998</v>
      </c>
      <c r="AG56" s="449">
        <v>44949.408000000003</v>
      </c>
      <c r="AH56" s="449">
        <v>44333.159999999996</v>
      </c>
      <c r="AI56" s="449">
        <v>45598.92</v>
      </c>
      <c r="AJ56" s="449">
        <v>44814.384000000005</v>
      </c>
      <c r="AK56" s="449">
        <v>43875.504000000001</v>
      </c>
      <c r="AL56" s="449">
        <v>44261.453999999998</v>
      </c>
      <c r="AM56" s="449">
        <v>45707.952000000005</v>
      </c>
      <c r="AN56" s="449">
        <v>49019.01</v>
      </c>
      <c r="AO56" s="449">
        <v>46516.26</v>
      </c>
      <c r="AP56" s="449">
        <v>49095.227999999996</v>
      </c>
      <c r="AQ56" s="449">
        <v>49692.906000000003</v>
      </c>
      <c r="AR56" s="449">
        <v>49601.663999999997</v>
      </c>
      <c r="AS56" s="449">
        <v>49699.044000000009</v>
      </c>
      <c r="AT56" s="449">
        <v>50140.055999999997</v>
      </c>
      <c r="AU56" s="449">
        <v>50215.163999999997</v>
      </c>
      <c r="AV56" s="449">
        <v>50622.240000000005</v>
      </c>
      <c r="AW56" s="449">
        <v>48528.023999999998</v>
      </c>
      <c r="AX56" s="449">
        <v>47151.671999999999</v>
      </c>
      <c r="AY56" s="449">
        <v>47541.384000000005</v>
      </c>
      <c r="AZ56" s="449">
        <v>51063.725999999995</v>
      </c>
      <c r="BA56" s="449">
        <v>50496.671999999991</v>
      </c>
      <c r="BB56" s="449">
        <v>53290.338000000003</v>
      </c>
      <c r="BC56" s="449">
        <v>52548.978000000003</v>
      </c>
      <c r="BD56" s="449">
        <v>54503.603999999992</v>
      </c>
      <c r="BE56" s="449">
        <v>54065.574000000001</v>
      </c>
      <c r="BF56" s="449">
        <v>54289.512000000002</v>
      </c>
      <c r="BG56" s="449">
        <v>54792.966</v>
      </c>
      <c r="BH56" s="449">
        <v>56607.552000000003</v>
      </c>
      <c r="BI56" s="449">
        <v>53035.734000000004</v>
      </c>
      <c r="BJ56" s="449">
        <v>51832.151999999995</v>
      </c>
      <c r="BK56" s="449">
        <v>54404.034</v>
      </c>
      <c r="BL56" s="449">
        <v>59069.94</v>
      </c>
      <c r="BM56" s="449">
        <v>55785.072</v>
      </c>
      <c r="BN56" s="449">
        <v>62270.831999999995</v>
      </c>
      <c r="BO56" s="449">
        <v>61855.872000000003</v>
      </c>
      <c r="BP56" s="449">
        <v>61562.921999999991</v>
      </c>
      <c r="BQ56" s="449">
        <v>62207.466</v>
      </c>
      <c r="BR56" s="449">
        <v>61817.513999999996</v>
      </c>
      <c r="BS56" s="449">
        <v>62377.962</v>
      </c>
      <c r="BT56" s="449">
        <v>63135.894</v>
      </c>
      <c r="BU56" s="449">
        <v>59764.29</v>
      </c>
      <c r="BV56" s="449">
        <v>59287.86</v>
      </c>
      <c r="BW56" s="449">
        <v>62145.714000000007</v>
      </c>
      <c r="BX56" s="449">
        <v>65837.244000000006</v>
      </c>
      <c r="BY56" s="449">
        <v>62070.941999999995</v>
      </c>
      <c r="BZ56" s="449">
        <v>67154.262000000002</v>
      </c>
      <c r="CA56" s="449">
        <v>66094.986000000004</v>
      </c>
      <c r="CB56" s="449">
        <v>67003.025999999998</v>
      </c>
      <c r="CC56" s="449">
        <v>69270.084000000003</v>
      </c>
      <c r="CD56" s="449">
        <v>66611.754000000001</v>
      </c>
      <c r="CE56" s="449">
        <v>65497.17</v>
      </c>
      <c r="CF56" s="449">
        <v>67679.027999999991</v>
      </c>
      <c r="CG56" s="449">
        <v>61560.678</v>
      </c>
      <c r="CH56" s="449">
        <v>63267.455999999991</v>
      </c>
      <c r="CI56" s="449">
        <v>65403.81</v>
      </c>
      <c r="CJ56" s="449">
        <v>66618.066000000006</v>
      </c>
      <c r="CK56" s="449">
        <v>67841.117999999988</v>
      </c>
      <c r="CL56" s="449">
        <v>71364.612000000008</v>
      </c>
      <c r="CM56" s="449">
        <v>71279.069999999992</v>
      </c>
      <c r="CN56" s="449">
        <v>74463.084000000003</v>
      </c>
      <c r="CO56" s="449">
        <v>77140.236000000004</v>
      </c>
      <c r="CP56" s="449">
        <v>75092.051999999996</v>
      </c>
      <c r="CQ56" s="449">
        <v>77772.600000000006</v>
      </c>
      <c r="CR56" s="449">
        <v>73745.700000000012</v>
      </c>
      <c r="CS56" s="449">
        <v>68453.66399999999</v>
      </c>
      <c r="CT56" s="449">
        <v>67056.312000000005</v>
      </c>
      <c r="CU56" s="449">
        <v>66766.896000000008</v>
      </c>
      <c r="CV56" s="449">
        <v>70813.271999999997</v>
      </c>
      <c r="CW56" s="449">
        <v>68591.334000000003</v>
      </c>
      <c r="CX56" s="449">
        <v>70295.207999999999</v>
      </c>
      <c r="CY56" s="449">
        <v>68165.981999999989</v>
      </c>
      <c r="CZ56" s="449">
        <v>68813.525999999998</v>
      </c>
      <c r="DA56" s="449">
        <v>67323.191999999995</v>
      </c>
      <c r="DB56" s="449">
        <v>65728.38</v>
      </c>
      <c r="DC56" s="449">
        <v>67691.694000000003</v>
      </c>
      <c r="DD56" s="449">
        <v>65896.554000000004</v>
      </c>
      <c r="DE56" s="449">
        <v>64033.686000000002</v>
      </c>
      <c r="DF56" s="449">
        <v>62117.04</v>
      </c>
      <c r="DG56" s="449">
        <v>64937.736000000004</v>
      </c>
      <c r="DH56" s="449">
        <v>70219.661999999997</v>
      </c>
      <c r="DI56" s="449">
        <v>68110.524000000005</v>
      </c>
      <c r="DJ56" s="449">
        <v>70731.462</v>
      </c>
      <c r="DK56" s="449">
        <v>72070.481999999989</v>
      </c>
      <c r="DL56" s="449">
        <v>74514.641999999993</v>
      </c>
      <c r="DM56" s="449">
        <v>76321.584000000003</v>
      </c>
      <c r="DN56" s="449">
        <v>74703.617999999988</v>
      </c>
      <c r="DO56" s="449">
        <v>77680.572</v>
      </c>
      <c r="DP56" s="449">
        <v>79505.717999999993</v>
      </c>
      <c r="DQ56" s="449">
        <v>74077.686000000002</v>
      </c>
      <c r="DR56" s="449">
        <v>74746.698000000004</v>
      </c>
      <c r="DS56" s="449">
        <v>74965.962</v>
      </c>
      <c r="DT56" s="449">
        <v>82242.65400000001</v>
      </c>
      <c r="DU56" s="449">
        <v>79736.19</v>
      </c>
      <c r="DV56" s="449">
        <v>88773.641999999993</v>
      </c>
      <c r="DW56" s="449">
        <v>86702.622000000003</v>
      </c>
      <c r="DX56" s="449">
        <v>88320.054000000004</v>
      </c>
      <c r="DY56" s="449">
        <v>92354.063999999998</v>
      </c>
      <c r="DZ56" s="449">
        <v>90722.856</v>
      </c>
      <c r="EA56" s="449">
        <v>92505.072</v>
      </c>
      <c r="EB56" s="449">
        <v>93601.77</v>
      </c>
      <c r="EC56" s="449">
        <v>87230.513999999996</v>
      </c>
      <c r="ED56" s="449">
        <v>88883.292000000001</v>
      </c>
      <c r="EE56" s="449">
        <v>93527.225999999995</v>
      </c>
      <c r="EF56" s="449">
        <v>99279.426000000007</v>
      </c>
      <c r="EG56" s="449">
        <v>96186.797999999995</v>
      </c>
      <c r="EH56" s="449">
        <v>102752.64599999999</v>
      </c>
      <c r="EI56" s="449">
        <v>98672.016000000003</v>
      </c>
      <c r="EJ56" s="449">
        <v>102270.93</v>
      </c>
      <c r="EK56" s="449">
        <v>104769.03600000001</v>
      </c>
      <c r="EL56" s="449">
        <v>100137.88800000001</v>
      </c>
      <c r="EM56" s="449">
        <v>103409.83800000002</v>
      </c>
      <c r="EN56" s="449">
        <v>99645.437999999995</v>
      </c>
      <c r="EO56" s="449">
        <v>93612.203999999998</v>
      </c>
      <c r="EP56" s="449">
        <v>98474.423999999999</v>
      </c>
      <c r="EQ56" s="449">
        <v>100455.79200000002</v>
      </c>
      <c r="ER56" s="449">
        <v>102869.712</v>
      </c>
      <c r="ES56" s="449">
        <v>104407.806</v>
      </c>
      <c r="ET56" s="449">
        <v>104641.21800000001</v>
      </c>
      <c r="EU56" s="449">
        <v>101678.72400000002</v>
      </c>
      <c r="EV56" s="449">
        <v>105669.204</v>
      </c>
      <c r="EW56" s="449">
        <v>107296.17</v>
      </c>
      <c r="EX56" s="449">
        <v>100419.03</v>
      </c>
      <c r="EY56" s="449">
        <v>102926.11199999999</v>
      </c>
      <c r="EZ56" s="449">
        <v>101138.766</v>
      </c>
      <c r="FA56" s="449">
        <v>90156.498000000007</v>
      </c>
      <c r="FB56" s="449">
        <v>91214.202000000005</v>
      </c>
      <c r="FC56" s="449">
        <v>90691.680000000008</v>
      </c>
      <c r="FD56" s="449">
        <v>98949.935999999987</v>
      </c>
      <c r="FE56" s="449">
        <v>94313.430000000008</v>
      </c>
      <c r="FF56" s="449">
        <v>99407.394</v>
      </c>
      <c r="FG56" s="449">
        <v>94518.33600000001</v>
      </c>
      <c r="FH56" s="449">
        <v>96588.858000000007</v>
      </c>
      <c r="FI56" s="449">
        <v>95988.617999999988</v>
      </c>
      <c r="FJ56" s="449">
        <v>94713.437999999995</v>
      </c>
      <c r="FK56" s="449">
        <v>99816.72</v>
      </c>
      <c r="FL56" s="449">
        <v>96743.069999999992</v>
      </c>
      <c r="FM56" s="449">
        <v>89975.981999999989</v>
      </c>
      <c r="FN56" s="449">
        <v>88698.72</v>
      </c>
      <c r="FO56" s="449">
        <v>87920.418000000005</v>
      </c>
      <c r="FP56" s="449">
        <v>94157.478000000003</v>
      </c>
      <c r="FQ56" s="449">
        <v>88753.224000000002</v>
      </c>
      <c r="FR56" s="449">
        <v>89946.504000000001</v>
      </c>
      <c r="FS56" s="449">
        <v>89196.678</v>
      </c>
      <c r="FT56" s="449">
        <v>90636.450000000012</v>
      </c>
      <c r="FU56" s="449">
        <v>90121.518000000011</v>
      </c>
      <c r="FV56" s="449">
        <v>88627.055999999997</v>
      </c>
      <c r="FW56" s="449">
        <v>90583.656000000003</v>
      </c>
      <c r="FX56" s="449">
        <v>88057.572</v>
      </c>
      <c r="FY56" s="449">
        <v>83790.834000000003</v>
      </c>
      <c r="FZ56" s="449">
        <v>82117.266000000003</v>
      </c>
      <c r="GA56" s="449">
        <v>83216.682000000001</v>
      </c>
      <c r="GB56" s="449">
        <v>83852.592000000004</v>
      </c>
      <c r="GC56" s="449">
        <v>81775.62</v>
      </c>
      <c r="GD56" s="449">
        <v>86113.955999999991</v>
      </c>
      <c r="GE56" s="449">
        <v>82441.001999999993</v>
      </c>
      <c r="GF56" s="449">
        <v>85037.525999999998</v>
      </c>
      <c r="GG56" s="449">
        <v>85956.09599999999</v>
      </c>
      <c r="GH56" s="449">
        <v>81090.69</v>
      </c>
      <c r="GI56" s="449">
        <v>84444.966</v>
      </c>
      <c r="GJ56" s="449">
        <v>86007.450000000012</v>
      </c>
      <c r="GK56" s="449">
        <v>79941.75</v>
      </c>
      <c r="GL56" s="449">
        <v>81749.285999999993</v>
      </c>
      <c r="GM56" s="449">
        <v>81782.004000000001</v>
      </c>
      <c r="GN56" s="449">
        <v>87716.316000000006</v>
      </c>
      <c r="GO56" s="449">
        <v>83544.527999999991</v>
      </c>
      <c r="GP56" s="449">
        <v>90022.391999999993</v>
      </c>
      <c r="GQ56" s="449">
        <v>85784.603999999992</v>
      </c>
      <c r="GR56" s="449">
        <v>88282.092000000004</v>
      </c>
      <c r="GS56" s="449">
        <v>89231.15400000001</v>
      </c>
      <c r="GT56" s="449">
        <v>86200.187999999995</v>
      </c>
      <c r="GU56" s="449">
        <v>90860.567999999999</v>
      </c>
      <c r="GV56" s="449">
        <v>91167.305999999997</v>
      </c>
      <c r="GW56" s="449">
        <v>83808.534</v>
      </c>
      <c r="GX56" s="449">
        <v>86908.74</v>
      </c>
      <c r="GY56" s="449">
        <v>86830.11</v>
      </c>
      <c r="GZ56" s="449">
        <v>94334.952000000005</v>
      </c>
      <c r="HA56" s="449">
        <v>91039.284</v>
      </c>
      <c r="HB56" s="449">
        <v>96462.486000000004</v>
      </c>
      <c r="HC56" s="449">
        <v>92624.61</v>
      </c>
      <c r="HD56" s="449">
        <v>98179.433999999994</v>
      </c>
      <c r="HE56" s="449">
        <v>97158.941999999995</v>
      </c>
      <c r="HF56" s="449">
        <v>92581.967999999993</v>
      </c>
      <c r="HG56" s="449">
        <v>100819.13999999998</v>
      </c>
      <c r="HH56" s="449">
        <v>100780.512</v>
      </c>
      <c r="HI56" s="449">
        <v>92924.268000000011</v>
      </c>
      <c r="HJ56" s="449">
        <v>96278.790000000008</v>
      </c>
      <c r="HK56" s="449">
        <v>95177.676000000007</v>
      </c>
      <c r="HL56" s="449">
        <v>100817.568</v>
      </c>
      <c r="HM56" s="449">
        <v>98650.008000000002</v>
      </c>
      <c r="HN56" s="449">
        <v>105681.99600000001</v>
      </c>
      <c r="HO56" s="449">
        <v>100284.444</v>
      </c>
      <c r="HP56" s="449">
        <v>107976.342</v>
      </c>
      <c r="HQ56" s="449">
        <v>104163.85800000001</v>
      </c>
      <c r="HR56" s="449">
        <v>100907.07</v>
      </c>
      <c r="HS56" s="449">
        <v>107061.65400000001</v>
      </c>
      <c r="HT56" s="449">
        <v>106888.44600000001</v>
      </c>
      <c r="HU56" s="449">
        <v>97622.28</v>
      </c>
      <c r="HV56" s="449">
        <v>100682.454</v>
      </c>
      <c r="HW56" s="449">
        <v>103313.886</v>
      </c>
      <c r="HX56" s="449">
        <v>107749.29000000001</v>
      </c>
      <c r="HY56" s="449">
        <v>101081.51400000001</v>
      </c>
      <c r="HZ56" s="449">
        <v>107444.29200000002</v>
      </c>
      <c r="IA56" s="449">
        <v>108100.902</v>
      </c>
      <c r="IB56" s="449">
        <v>112715.99400000001</v>
      </c>
      <c r="IC56" s="449">
        <v>113397.84599999999</v>
      </c>
      <c r="ID56" s="449">
        <v>111234.58200000001</v>
      </c>
      <c r="IE56" s="449">
        <v>113734.308</v>
      </c>
      <c r="IF56" s="449">
        <v>115611.894</v>
      </c>
      <c r="IG56" s="449">
        <v>105689.72400000002</v>
      </c>
      <c r="IH56" s="449">
        <v>109061.77799999999</v>
      </c>
      <c r="II56" s="449">
        <v>107171.226</v>
      </c>
      <c r="IJ56" s="449">
        <v>123295.59</v>
      </c>
      <c r="IK56" s="449">
        <v>115064.17800000001</v>
      </c>
      <c r="IL56" s="449">
        <v>120645.954</v>
      </c>
      <c r="IM56" s="449">
        <v>119410.17</v>
      </c>
      <c r="IN56" s="450">
        <v>118034.08800000002</v>
      </c>
      <c r="IO56" s="450">
        <v>123490.908</v>
      </c>
      <c r="IP56" s="450">
        <v>119817.57</v>
      </c>
      <c r="IQ56" s="450">
        <v>121722.48000000001</v>
      </c>
      <c r="IR56" s="450">
        <v>123136.08</v>
      </c>
      <c r="IS56" s="450">
        <v>111069.64199999999</v>
      </c>
      <c r="IT56" s="450">
        <v>112099.21800000001</v>
      </c>
      <c r="IU56" s="450">
        <v>113554.45199999999</v>
      </c>
      <c r="IV56" s="450">
        <v>121624.17600000001</v>
      </c>
      <c r="IW56" s="451">
        <v>121303.406</v>
      </c>
      <c r="IX56" s="451">
        <v>127215.106</v>
      </c>
      <c r="IY56" s="451">
        <v>126838.448</v>
      </c>
      <c r="IZ56" s="451">
        <v>126309</v>
      </c>
      <c r="JA56" s="451">
        <v>129768.63</v>
      </c>
      <c r="JB56" s="451">
        <v>134126.70000000001</v>
      </c>
      <c r="JC56" s="451">
        <v>132805.484</v>
      </c>
      <c r="JD56" s="451">
        <v>134482.53400000001</v>
      </c>
      <c r="JE56" s="452">
        <v>138070.00599999999</v>
      </c>
    </row>
    <row r="57" spans="1:669" x14ac:dyDescent="0.3">
      <c r="A57" s="407"/>
      <c r="B57" s="454"/>
      <c r="C57" s="454"/>
      <c r="D57" s="454"/>
      <c r="E57" s="454"/>
      <c r="F57" s="454"/>
      <c r="G57" s="454"/>
      <c r="H57" s="454"/>
      <c r="I57" s="454"/>
      <c r="J57" s="454"/>
      <c r="K57" s="454"/>
      <c r="L57" s="454"/>
      <c r="M57" s="454"/>
      <c r="N57" s="454"/>
      <c r="O57" s="454"/>
      <c r="P57" s="454"/>
      <c r="Q57" s="454"/>
      <c r="R57" s="454"/>
      <c r="S57" s="454"/>
      <c r="T57" s="454"/>
      <c r="U57" s="454"/>
      <c r="V57" s="454"/>
      <c r="W57" s="454"/>
      <c r="X57" s="454"/>
      <c r="Y57" s="454"/>
      <c r="Z57" s="454"/>
      <c r="AA57" s="454"/>
      <c r="AB57" s="454"/>
      <c r="AC57" s="454"/>
      <c r="AD57" s="454"/>
      <c r="AE57" s="454"/>
      <c r="AF57" s="454"/>
      <c r="AG57" s="454"/>
      <c r="AH57" s="454"/>
      <c r="AI57" s="454"/>
      <c r="AJ57" s="454"/>
      <c r="AK57" s="454"/>
      <c r="AL57" s="454"/>
      <c r="AM57" s="454"/>
      <c r="AN57" s="454"/>
      <c r="AO57" s="454"/>
      <c r="AP57" s="454"/>
      <c r="AQ57" s="454"/>
      <c r="AR57" s="454"/>
      <c r="AS57" s="454"/>
      <c r="AT57" s="454"/>
      <c r="AU57" s="454"/>
      <c r="AV57" s="454"/>
      <c r="AW57" s="454"/>
      <c r="AX57" s="454"/>
      <c r="AY57" s="454"/>
      <c r="AZ57" s="454"/>
      <c r="BA57" s="454"/>
      <c r="BB57" s="454"/>
      <c r="BC57" s="454"/>
      <c r="BD57" s="454"/>
      <c r="BE57" s="454"/>
      <c r="BF57" s="454"/>
      <c r="BG57" s="454"/>
      <c r="BH57" s="454"/>
      <c r="BI57" s="454"/>
      <c r="BJ57" s="454"/>
      <c r="BK57" s="454"/>
      <c r="BL57" s="454"/>
      <c r="BM57" s="454"/>
      <c r="BN57" s="454"/>
      <c r="BO57" s="454"/>
      <c r="BP57" s="454"/>
      <c r="BQ57" s="454"/>
      <c r="BR57" s="454"/>
      <c r="BS57" s="454"/>
      <c r="BT57" s="454"/>
      <c r="BU57" s="454"/>
      <c r="BV57" s="454"/>
      <c r="BW57" s="454"/>
      <c r="BX57" s="454"/>
      <c r="BY57" s="454"/>
      <c r="BZ57" s="454"/>
      <c r="CA57" s="454"/>
      <c r="CB57" s="454"/>
      <c r="CC57" s="454"/>
      <c r="CD57" s="454"/>
      <c r="CE57" s="454"/>
      <c r="CF57" s="454"/>
      <c r="CG57" s="454"/>
      <c r="CH57" s="454"/>
      <c r="CI57" s="454"/>
      <c r="CJ57" s="454"/>
      <c r="CK57" s="454"/>
      <c r="CL57" s="454"/>
      <c r="CM57" s="454"/>
      <c r="CN57" s="454"/>
      <c r="CO57" s="454"/>
      <c r="CP57" s="454"/>
      <c r="CQ57" s="454"/>
      <c r="CR57" s="454"/>
      <c r="CS57" s="454"/>
      <c r="CT57" s="454"/>
      <c r="CU57" s="454"/>
      <c r="CV57" s="454"/>
      <c r="CW57" s="454"/>
      <c r="CX57" s="454"/>
      <c r="CY57" s="454"/>
      <c r="CZ57" s="454"/>
      <c r="DA57" s="454"/>
      <c r="DB57" s="454"/>
      <c r="DC57" s="454"/>
      <c r="DD57" s="454"/>
      <c r="DE57" s="454"/>
      <c r="DF57" s="454"/>
      <c r="DG57" s="454"/>
      <c r="DH57" s="454"/>
      <c r="DI57" s="454"/>
      <c r="DJ57" s="454"/>
      <c r="DK57" s="454"/>
      <c r="DL57" s="454"/>
      <c r="DM57" s="454"/>
      <c r="DN57" s="454"/>
      <c r="DO57" s="454"/>
      <c r="DP57" s="454"/>
      <c r="DQ57" s="454"/>
      <c r="DR57" s="454"/>
      <c r="DS57" s="454"/>
      <c r="DT57" s="454"/>
      <c r="DU57" s="454"/>
      <c r="DV57" s="454"/>
      <c r="DW57" s="454"/>
      <c r="DX57" s="454"/>
      <c r="DY57" s="454"/>
      <c r="DZ57" s="454"/>
      <c r="EA57" s="454"/>
      <c r="EB57" s="454"/>
      <c r="EC57" s="454"/>
      <c r="ED57" s="454"/>
      <c r="EE57" s="454"/>
      <c r="EF57" s="454"/>
      <c r="EG57" s="454"/>
      <c r="EH57" s="454"/>
      <c r="EI57" s="454"/>
      <c r="EJ57" s="454"/>
      <c r="EK57" s="454"/>
      <c r="EL57" s="454"/>
      <c r="EM57" s="454"/>
      <c r="EN57" s="454"/>
      <c r="EO57" s="454"/>
      <c r="EP57" s="454"/>
      <c r="EQ57" s="454"/>
      <c r="ER57" s="454"/>
      <c r="ES57" s="454"/>
      <c r="ET57" s="454"/>
      <c r="EU57" s="454"/>
      <c r="EV57" s="454"/>
      <c r="EW57" s="454"/>
      <c r="EX57" s="454"/>
      <c r="EY57" s="454"/>
      <c r="EZ57" s="454"/>
      <c r="FA57" s="454"/>
      <c r="FB57" s="454"/>
      <c r="FC57" s="454"/>
      <c r="FD57" s="454"/>
      <c r="FE57" s="454"/>
      <c r="FF57" s="454"/>
      <c r="FG57" s="454"/>
      <c r="FH57" s="454"/>
      <c r="FI57" s="454"/>
      <c r="FJ57" s="454"/>
      <c r="FK57" s="454"/>
      <c r="FL57" s="454"/>
      <c r="FM57" s="454"/>
      <c r="FN57" s="454"/>
      <c r="FO57" s="454"/>
      <c r="FP57" s="454"/>
      <c r="FQ57" s="454"/>
      <c r="FR57" s="454"/>
      <c r="FS57" s="454"/>
      <c r="FT57" s="454"/>
      <c r="FU57" s="454"/>
      <c r="FV57" s="454"/>
      <c r="FW57" s="454"/>
      <c r="FX57" s="454"/>
      <c r="FY57" s="454"/>
      <c r="GE57" s="454"/>
      <c r="GK57" s="454"/>
      <c r="GQ57" s="454"/>
      <c r="GW57" s="454"/>
      <c r="HC57" s="15"/>
      <c r="IA57" s="413"/>
      <c r="IB57" s="413"/>
      <c r="IC57" s="413"/>
      <c r="ID57" s="413"/>
      <c r="IE57" s="413"/>
      <c r="IF57" s="413"/>
      <c r="IG57" s="413"/>
      <c r="IH57" s="413"/>
      <c r="II57" s="413"/>
      <c r="IJ57" s="413"/>
      <c r="IK57" s="413"/>
      <c r="IL57" s="413"/>
      <c r="IM57" s="413"/>
      <c r="IN57" s="3"/>
    </row>
    <row r="58" spans="1:669" s="107" customFormat="1" ht="14.4" hidden="1" customHeight="1" x14ac:dyDescent="0.3">
      <c r="AJ58"/>
      <c r="AK58"/>
      <c r="AL58"/>
      <c r="AM58"/>
      <c r="AN58"/>
      <c r="AO58"/>
      <c r="AP58"/>
      <c r="AQ58"/>
      <c r="AR58"/>
      <c r="AS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c r="MS58"/>
      <c r="MT58"/>
      <c r="MU58"/>
      <c r="MV58"/>
      <c r="MW58"/>
      <c r="MX58"/>
      <c r="MY58"/>
      <c r="MZ58"/>
      <c r="NA58"/>
      <c r="NB58"/>
      <c r="NC58"/>
      <c r="ND58"/>
      <c r="NE58"/>
      <c r="NF58"/>
      <c r="NG58"/>
      <c r="NH58"/>
      <c r="NI58"/>
      <c r="NJ58"/>
      <c r="NK58"/>
      <c r="NL58"/>
      <c r="NM58"/>
      <c r="NN58"/>
      <c r="NO58"/>
      <c r="NP58"/>
      <c r="NQ58"/>
      <c r="NR58"/>
      <c r="NS58"/>
      <c r="NT58"/>
      <c r="NU58"/>
      <c r="NV58"/>
      <c r="NW58"/>
      <c r="NX58"/>
      <c r="NY58"/>
      <c r="NZ58"/>
      <c r="OA58"/>
      <c r="OB58"/>
      <c r="OC58"/>
      <c r="OD58"/>
      <c r="OE58"/>
      <c r="OF58"/>
      <c r="OG58"/>
      <c r="OH58"/>
      <c r="OI58"/>
      <c r="OJ58"/>
      <c r="OK58"/>
      <c r="OL58"/>
      <c r="OM58"/>
      <c r="ON58"/>
      <c r="OO58"/>
      <c r="OP58"/>
      <c r="OQ58"/>
      <c r="OR58"/>
      <c r="OS58"/>
      <c r="OT58"/>
      <c r="OU58"/>
      <c r="OV58"/>
      <c r="OW58"/>
      <c r="OX58"/>
      <c r="OY58"/>
      <c r="OZ58"/>
      <c r="PA58"/>
      <c r="PB58"/>
      <c r="PC58"/>
      <c r="PD58"/>
      <c r="PE58"/>
      <c r="PF58"/>
      <c r="PG58"/>
      <c r="PH58"/>
      <c r="PI58"/>
      <c r="PJ58"/>
      <c r="PK58"/>
      <c r="PL58"/>
      <c r="PM58"/>
      <c r="PN58"/>
      <c r="PO58"/>
      <c r="PP58"/>
      <c r="PQ58"/>
      <c r="PR58"/>
      <c r="PS58"/>
      <c r="PT58"/>
      <c r="PU58"/>
      <c r="PV58"/>
      <c r="PW58"/>
      <c r="PX58"/>
      <c r="PY58"/>
      <c r="PZ58"/>
      <c r="QA58"/>
      <c r="QB58"/>
      <c r="QC58"/>
      <c r="QD58"/>
      <c r="QE58"/>
      <c r="QF58"/>
      <c r="QG58"/>
      <c r="QH58"/>
      <c r="QI58"/>
      <c r="QJ58"/>
      <c r="QK58"/>
      <c r="QL58"/>
      <c r="QM58"/>
      <c r="QN58"/>
      <c r="QO58"/>
      <c r="QP58"/>
      <c r="QQ58"/>
      <c r="QR58"/>
      <c r="QS58"/>
      <c r="QT58"/>
      <c r="QU58"/>
      <c r="QV58"/>
      <c r="QW58"/>
      <c r="QX58"/>
      <c r="QY58"/>
      <c r="QZ58"/>
      <c r="RA58"/>
      <c r="RB58"/>
      <c r="RC58"/>
      <c r="RD58"/>
      <c r="RE58"/>
      <c r="RF58"/>
      <c r="RG58"/>
      <c r="RH58"/>
      <c r="RI58"/>
      <c r="RJ58"/>
      <c r="RK58"/>
      <c r="RL58"/>
      <c r="RM58"/>
      <c r="RN58"/>
      <c r="RO58"/>
      <c r="RP58"/>
      <c r="RQ58"/>
      <c r="RR58"/>
      <c r="RS58"/>
      <c r="RT58"/>
      <c r="RU58"/>
      <c r="RV58"/>
      <c r="RW58"/>
      <c r="RX58"/>
      <c r="RY58"/>
      <c r="RZ58"/>
      <c r="SA58"/>
      <c r="SB58"/>
      <c r="SC58"/>
      <c r="SD58"/>
      <c r="SE58"/>
      <c r="SF58"/>
      <c r="SG58"/>
      <c r="SH58"/>
      <c r="SI58"/>
      <c r="SJ58"/>
      <c r="SK58"/>
      <c r="SL58"/>
      <c r="SM58"/>
      <c r="SN58"/>
      <c r="SO58"/>
      <c r="SP58"/>
      <c r="SQ58"/>
      <c r="SR58"/>
      <c r="SS58"/>
      <c r="ST58"/>
      <c r="SU58"/>
      <c r="SV58"/>
      <c r="SW58"/>
      <c r="SX58"/>
      <c r="SY58"/>
    </row>
    <row r="59" spans="1:669" s="3" customFormat="1" ht="14.4" hidden="1" customHeight="1" x14ac:dyDescent="0.3">
      <c r="B59" s="3">
        <f t="shared" ref="B59:BM59" si="0">YEAR(B43)</f>
        <v>2001</v>
      </c>
      <c r="C59" s="3">
        <f t="shared" si="0"/>
        <v>2001</v>
      </c>
      <c r="D59" s="3">
        <f t="shared" si="0"/>
        <v>2001</v>
      </c>
      <c r="E59" s="3">
        <f t="shared" si="0"/>
        <v>2001</v>
      </c>
      <c r="F59" s="3">
        <f t="shared" si="0"/>
        <v>2001</v>
      </c>
      <c r="G59" s="3">
        <f t="shared" si="0"/>
        <v>2001</v>
      </c>
      <c r="H59" s="3">
        <f t="shared" si="0"/>
        <v>2001</v>
      </c>
      <c r="I59" s="3">
        <f t="shared" si="0"/>
        <v>2001</v>
      </c>
      <c r="J59" s="3">
        <f t="shared" si="0"/>
        <v>2001</v>
      </c>
      <c r="K59" s="3">
        <f t="shared" si="0"/>
        <v>2001</v>
      </c>
      <c r="L59" s="3">
        <f t="shared" si="0"/>
        <v>2001</v>
      </c>
      <c r="M59" s="3">
        <f t="shared" si="0"/>
        <v>2001</v>
      </c>
      <c r="N59" s="3">
        <f t="shared" si="0"/>
        <v>2002</v>
      </c>
      <c r="O59" s="3">
        <f t="shared" si="0"/>
        <v>2002</v>
      </c>
      <c r="P59" s="3">
        <f t="shared" si="0"/>
        <v>2002</v>
      </c>
      <c r="Q59" s="3">
        <f t="shared" si="0"/>
        <v>2002</v>
      </c>
      <c r="R59" s="3">
        <f t="shared" si="0"/>
        <v>2002</v>
      </c>
      <c r="S59" s="3">
        <f t="shared" si="0"/>
        <v>2002</v>
      </c>
      <c r="T59" s="3">
        <f t="shared" si="0"/>
        <v>2002</v>
      </c>
      <c r="U59" s="3">
        <f t="shared" si="0"/>
        <v>2002</v>
      </c>
      <c r="V59" s="3">
        <f t="shared" si="0"/>
        <v>2002</v>
      </c>
      <c r="W59" s="3">
        <f t="shared" si="0"/>
        <v>2002</v>
      </c>
      <c r="X59" s="3">
        <f t="shared" si="0"/>
        <v>2002</v>
      </c>
      <c r="Y59" s="3">
        <f t="shared" si="0"/>
        <v>2002</v>
      </c>
      <c r="Z59" s="3">
        <f t="shared" si="0"/>
        <v>2003</v>
      </c>
      <c r="AA59" s="3">
        <f t="shared" si="0"/>
        <v>2003</v>
      </c>
      <c r="AB59" s="3">
        <f t="shared" si="0"/>
        <v>2003</v>
      </c>
      <c r="AC59" s="3">
        <f t="shared" si="0"/>
        <v>2003</v>
      </c>
      <c r="AD59" s="3">
        <f t="shared" si="0"/>
        <v>2003</v>
      </c>
      <c r="AE59" s="3">
        <f t="shared" si="0"/>
        <v>2003</v>
      </c>
      <c r="AF59" s="3">
        <f t="shared" si="0"/>
        <v>2003</v>
      </c>
      <c r="AG59" s="3">
        <f t="shared" si="0"/>
        <v>2003</v>
      </c>
      <c r="AH59" s="3">
        <f t="shared" si="0"/>
        <v>2003</v>
      </c>
      <c r="AI59" s="3">
        <f t="shared" si="0"/>
        <v>2003</v>
      </c>
      <c r="AJ59" s="3">
        <f t="shared" si="0"/>
        <v>2003</v>
      </c>
      <c r="AK59" s="3">
        <f t="shared" si="0"/>
        <v>2003</v>
      </c>
      <c r="AL59" s="3">
        <f t="shared" si="0"/>
        <v>2004</v>
      </c>
      <c r="AM59" s="3">
        <f t="shared" si="0"/>
        <v>2004</v>
      </c>
      <c r="AN59" s="3">
        <f t="shared" si="0"/>
        <v>2004</v>
      </c>
      <c r="AO59" s="3">
        <f t="shared" si="0"/>
        <v>2004</v>
      </c>
      <c r="AP59" s="3">
        <f t="shared" si="0"/>
        <v>2004</v>
      </c>
      <c r="AQ59" s="3">
        <f t="shared" si="0"/>
        <v>2004</v>
      </c>
      <c r="AR59" s="3">
        <f t="shared" si="0"/>
        <v>2004</v>
      </c>
      <c r="AS59" s="3">
        <f t="shared" si="0"/>
        <v>2004</v>
      </c>
      <c r="AT59" s="3">
        <f t="shared" si="0"/>
        <v>2004</v>
      </c>
      <c r="AU59" s="3">
        <f t="shared" si="0"/>
        <v>2004</v>
      </c>
      <c r="AV59" s="3">
        <f t="shared" si="0"/>
        <v>2004</v>
      </c>
      <c r="AW59" s="3">
        <f t="shared" si="0"/>
        <v>2004</v>
      </c>
      <c r="AX59" s="3">
        <f t="shared" si="0"/>
        <v>2005</v>
      </c>
      <c r="AY59" s="3">
        <f t="shared" si="0"/>
        <v>2005</v>
      </c>
      <c r="AZ59" s="3">
        <f t="shared" si="0"/>
        <v>2005</v>
      </c>
      <c r="BA59" s="3">
        <f t="shared" si="0"/>
        <v>2005</v>
      </c>
      <c r="BB59" s="3">
        <f t="shared" si="0"/>
        <v>2005</v>
      </c>
      <c r="BC59" s="3">
        <f t="shared" si="0"/>
        <v>2005</v>
      </c>
      <c r="BD59" s="3">
        <f t="shared" si="0"/>
        <v>2005</v>
      </c>
      <c r="BE59" s="3">
        <f t="shared" si="0"/>
        <v>2005</v>
      </c>
      <c r="BF59" s="3">
        <f t="shared" si="0"/>
        <v>2005</v>
      </c>
      <c r="BG59" s="3">
        <f t="shared" si="0"/>
        <v>2005</v>
      </c>
      <c r="BH59" s="3">
        <f t="shared" si="0"/>
        <v>2005</v>
      </c>
      <c r="BI59" s="3">
        <f t="shared" si="0"/>
        <v>2005</v>
      </c>
      <c r="BJ59" s="3">
        <f t="shared" si="0"/>
        <v>2006</v>
      </c>
      <c r="BK59" s="3">
        <f t="shared" si="0"/>
        <v>2006</v>
      </c>
      <c r="BL59" s="3">
        <f t="shared" si="0"/>
        <v>2006</v>
      </c>
      <c r="BM59" s="3">
        <f t="shared" si="0"/>
        <v>2006</v>
      </c>
      <c r="BN59" s="3">
        <f t="shared" ref="BN59:DY59" si="1">YEAR(BN43)</f>
        <v>2006</v>
      </c>
      <c r="BO59" s="3">
        <f t="shared" si="1"/>
        <v>2006</v>
      </c>
      <c r="BP59" s="3">
        <f t="shared" si="1"/>
        <v>2006</v>
      </c>
      <c r="BQ59" s="3">
        <f t="shared" si="1"/>
        <v>2006</v>
      </c>
      <c r="BR59" s="3">
        <f t="shared" si="1"/>
        <v>2006</v>
      </c>
      <c r="BS59" s="3">
        <f t="shared" si="1"/>
        <v>2006</v>
      </c>
      <c r="BT59" s="3">
        <f t="shared" si="1"/>
        <v>2006</v>
      </c>
      <c r="BU59" s="3">
        <f t="shared" si="1"/>
        <v>2006</v>
      </c>
      <c r="BV59" s="3">
        <f t="shared" si="1"/>
        <v>2007</v>
      </c>
      <c r="BW59" s="3">
        <f t="shared" si="1"/>
        <v>2007</v>
      </c>
      <c r="BX59" s="3">
        <f t="shared" si="1"/>
        <v>2007</v>
      </c>
      <c r="BY59" s="3">
        <f t="shared" si="1"/>
        <v>2007</v>
      </c>
      <c r="BZ59" s="3">
        <f t="shared" si="1"/>
        <v>2007</v>
      </c>
      <c r="CA59" s="3">
        <f t="shared" si="1"/>
        <v>2007</v>
      </c>
      <c r="CB59" s="3">
        <f t="shared" si="1"/>
        <v>2007</v>
      </c>
      <c r="CC59" s="3">
        <f t="shared" si="1"/>
        <v>2007</v>
      </c>
      <c r="CD59" s="3">
        <f t="shared" si="1"/>
        <v>2007</v>
      </c>
      <c r="CE59" s="3">
        <f t="shared" si="1"/>
        <v>2007</v>
      </c>
      <c r="CF59" s="3">
        <f t="shared" si="1"/>
        <v>2007</v>
      </c>
      <c r="CG59" s="3">
        <f t="shared" si="1"/>
        <v>2007</v>
      </c>
      <c r="CH59" s="3">
        <f t="shared" si="1"/>
        <v>2008</v>
      </c>
      <c r="CI59" s="3">
        <f t="shared" si="1"/>
        <v>2008</v>
      </c>
      <c r="CJ59" s="3">
        <f t="shared" si="1"/>
        <v>2008</v>
      </c>
      <c r="CK59" s="3">
        <f t="shared" si="1"/>
        <v>2008</v>
      </c>
      <c r="CL59" s="3">
        <f t="shared" si="1"/>
        <v>2008</v>
      </c>
      <c r="CM59" s="3">
        <f t="shared" si="1"/>
        <v>2008</v>
      </c>
      <c r="CN59" s="3">
        <f t="shared" si="1"/>
        <v>2008</v>
      </c>
      <c r="CO59" s="3">
        <f t="shared" si="1"/>
        <v>2008</v>
      </c>
      <c r="CP59" s="3">
        <f t="shared" si="1"/>
        <v>2008</v>
      </c>
      <c r="CQ59" s="3">
        <f t="shared" si="1"/>
        <v>2008</v>
      </c>
      <c r="CR59" s="3">
        <f t="shared" si="1"/>
        <v>2008</v>
      </c>
      <c r="CS59" s="3">
        <f t="shared" si="1"/>
        <v>2008</v>
      </c>
      <c r="CT59" s="3">
        <f t="shared" si="1"/>
        <v>2009</v>
      </c>
      <c r="CU59" s="3">
        <f t="shared" si="1"/>
        <v>2009</v>
      </c>
      <c r="CV59" s="3">
        <f t="shared" si="1"/>
        <v>2009</v>
      </c>
      <c r="CW59" s="3">
        <f t="shared" si="1"/>
        <v>2009</v>
      </c>
      <c r="CX59" s="3">
        <f t="shared" si="1"/>
        <v>2009</v>
      </c>
      <c r="CY59" s="3">
        <f t="shared" si="1"/>
        <v>2009</v>
      </c>
      <c r="CZ59" s="3">
        <f t="shared" si="1"/>
        <v>2009</v>
      </c>
      <c r="DA59" s="3">
        <f t="shared" si="1"/>
        <v>2009</v>
      </c>
      <c r="DB59" s="3">
        <f t="shared" si="1"/>
        <v>2009</v>
      </c>
      <c r="DC59" s="3">
        <f t="shared" si="1"/>
        <v>2009</v>
      </c>
      <c r="DD59" s="3">
        <f t="shared" si="1"/>
        <v>2009</v>
      </c>
      <c r="DE59" s="3">
        <f t="shared" si="1"/>
        <v>2009</v>
      </c>
      <c r="DF59" s="3">
        <f t="shared" si="1"/>
        <v>2010</v>
      </c>
      <c r="DG59" s="3">
        <f t="shared" si="1"/>
        <v>2010</v>
      </c>
      <c r="DH59" s="3">
        <f t="shared" si="1"/>
        <v>2010</v>
      </c>
      <c r="DI59" s="3">
        <f t="shared" si="1"/>
        <v>2010</v>
      </c>
      <c r="DJ59" s="3">
        <f t="shared" si="1"/>
        <v>2010</v>
      </c>
      <c r="DK59" s="3">
        <f t="shared" si="1"/>
        <v>2010</v>
      </c>
      <c r="DL59" s="3">
        <f t="shared" si="1"/>
        <v>2010</v>
      </c>
      <c r="DM59" s="3">
        <f t="shared" si="1"/>
        <v>2010</v>
      </c>
      <c r="DN59" s="3">
        <f t="shared" si="1"/>
        <v>2010</v>
      </c>
      <c r="DO59" s="3">
        <f t="shared" si="1"/>
        <v>2010</v>
      </c>
      <c r="DP59" s="3">
        <f t="shared" si="1"/>
        <v>2010</v>
      </c>
      <c r="DQ59" s="3">
        <f t="shared" si="1"/>
        <v>2010</v>
      </c>
      <c r="DR59" s="3">
        <f t="shared" si="1"/>
        <v>2011</v>
      </c>
      <c r="DS59" s="3">
        <f t="shared" si="1"/>
        <v>2011</v>
      </c>
      <c r="DT59" s="3">
        <f t="shared" si="1"/>
        <v>2011</v>
      </c>
      <c r="DU59" s="3">
        <f t="shared" si="1"/>
        <v>2011</v>
      </c>
      <c r="DV59" s="3">
        <f t="shared" si="1"/>
        <v>2011</v>
      </c>
      <c r="DW59" s="3">
        <f t="shared" si="1"/>
        <v>2011</v>
      </c>
      <c r="DX59" s="3">
        <f t="shared" si="1"/>
        <v>2011</v>
      </c>
      <c r="DY59" s="3">
        <f t="shared" si="1"/>
        <v>2011</v>
      </c>
      <c r="DZ59" s="3">
        <f t="shared" ref="DZ59:GK59" si="2">YEAR(DZ43)</f>
        <v>2011</v>
      </c>
      <c r="EA59" s="3">
        <f t="shared" si="2"/>
        <v>2011</v>
      </c>
      <c r="EB59" s="3">
        <f t="shared" si="2"/>
        <v>2011</v>
      </c>
      <c r="EC59" s="3">
        <f t="shared" si="2"/>
        <v>2011</v>
      </c>
      <c r="ED59" s="3">
        <f t="shared" si="2"/>
        <v>2012</v>
      </c>
      <c r="EE59" s="3">
        <f t="shared" si="2"/>
        <v>2012</v>
      </c>
      <c r="EF59" s="3">
        <f t="shared" si="2"/>
        <v>2012</v>
      </c>
      <c r="EG59" s="3">
        <f t="shared" si="2"/>
        <v>2012</v>
      </c>
      <c r="EH59" s="3">
        <f t="shared" si="2"/>
        <v>2012</v>
      </c>
      <c r="EI59" s="3">
        <f t="shared" si="2"/>
        <v>2012</v>
      </c>
      <c r="EJ59" s="3">
        <f t="shared" si="2"/>
        <v>2012</v>
      </c>
      <c r="EK59" s="3">
        <f t="shared" si="2"/>
        <v>2012</v>
      </c>
      <c r="EL59" s="3">
        <f t="shared" si="2"/>
        <v>2012</v>
      </c>
      <c r="EM59" s="3">
        <f t="shared" si="2"/>
        <v>2012</v>
      </c>
      <c r="EN59" s="3">
        <f t="shared" si="2"/>
        <v>2012</v>
      </c>
      <c r="EO59" s="3">
        <f t="shared" si="2"/>
        <v>2012</v>
      </c>
      <c r="EP59" s="3">
        <f t="shared" si="2"/>
        <v>2013</v>
      </c>
      <c r="EQ59" s="3">
        <f t="shared" si="2"/>
        <v>2013</v>
      </c>
      <c r="ER59" s="3">
        <f t="shared" si="2"/>
        <v>2013</v>
      </c>
      <c r="ES59" s="3">
        <f t="shared" si="2"/>
        <v>2013</v>
      </c>
      <c r="ET59" s="3">
        <f t="shared" si="2"/>
        <v>2013</v>
      </c>
      <c r="EU59" s="3">
        <f t="shared" si="2"/>
        <v>2013</v>
      </c>
      <c r="EV59" s="3">
        <f t="shared" si="2"/>
        <v>2013</v>
      </c>
      <c r="EW59" s="3">
        <f t="shared" si="2"/>
        <v>2013</v>
      </c>
      <c r="EX59" s="3">
        <f t="shared" si="2"/>
        <v>2013</v>
      </c>
      <c r="EY59" s="3">
        <f t="shared" si="2"/>
        <v>2013</v>
      </c>
      <c r="EZ59" s="3">
        <f t="shared" si="2"/>
        <v>2013</v>
      </c>
      <c r="FA59" s="3">
        <f t="shared" si="2"/>
        <v>2013</v>
      </c>
      <c r="FB59" s="3">
        <f t="shared" si="2"/>
        <v>2014</v>
      </c>
      <c r="FC59" s="3">
        <f t="shared" si="2"/>
        <v>2014</v>
      </c>
      <c r="FD59" s="3">
        <f t="shared" si="2"/>
        <v>2014</v>
      </c>
      <c r="FE59" s="3">
        <f t="shared" si="2"/>
        <v>2014</v>
      </c>
      <c r="FF59" s="3">
        <f t="shared" si="2"/>
        <v>2014</v>
      </c>
      <c r="FG59" s="3">
        <f t="shared" si="2"/>
        <v>2014</v>
      </c>
      <c r="FH59" s="3">
        <f t="shared" si="2"/>
        <v>2014</v>
      </c>
      <c r="FI59" s="3">
        <f t="shared" si="2"/>
        <v>2014</v>
      </c>
      <c r="FJ59" s="3">
        <f t="shared" si="2"/>
        <v>2014</v>
      </c>
      <c r="FK59" s="3">
        <f t="shared" si="2"/>
        <v>2014</v>
      </c>
      <c r="FL59" s="3">
        <f t="shared" si="2"/>
        <v>2014</v>
      </c>
      <c r="FM59" s="3">
        <f t="shared" si="2"/>
        <v>2014</v>
      </c>
      <c r="FN59" s="3">
        <f t="shared" si="2"/>
        <v>2015</v>
      </c>
      <c r="FO59" s="3">
        <f t="shared" si="2"/>
        <v>2015</v>
      </c>
      <c r="FP59" s="3">
        <f t="shared" si="2"/>
        <v>2015</v>
      </c>
      <c r="FQ59" s="3">
        <f t="shared" si="2"/>
        <v>2015</v>
      </c>
      <c r="FR59" s="3">
        <f t="shared" si="2"/>
        <v>2015</v>
      </c>
      <c r="FS59" s="3">
        <f t="shared" si="2"/>
        <v>2015</v>
      </c>
      <c r="FT59" s="3">
        <f t="shared" si="2"/>
        <v>2015</v>
      </c>
      <c r="FU59" s="3">
        <f t="shared" si="2"/>
        <v>2015</v>
      </c>
      <c r="FV59" s="3">
        <f t="shared" si="2"/>
        <v>2015</v>
      </c>
      <c r="FW59" s="3">
        <f t="shared" si="2"/>
        <v>2015</v>
      </c>
      <c r="FX59" s="3">
        <f t="shared" si="2"/>
        <v>2015</v>
      </c>
      <c r="FY59" s="3">
        <f t="shared" si="2"/>
        <v>2015</v>
      </c>
      <c r="FZ59" s="3">
        <f t="shared" si="2"/>
        <v>2016</v>
      </c>
      <c r="GA59" s="3">
        <f t="shared" si="2"/>
        <v>2016</v>
      </c>
      <c r="GB59" s="3">
        <f t="shared" si="2"/>
        <v>2016</v>
      </c>
      <c r="GC59" s="3">
        <f t="shared" si="2"/>
        <v>2016</v>
      </c>
      <c r="GD59" s="3">
        <f t="shared" si="2"/>
        <v>2016</v>
      </c>
      <c r="GE59" s="3">
        <f t="shared" si="2"/>
        <v>2016</v>
      </c>
      <c r="GF59" s="3">
        <f t="shared" si="2"/>
        <v>2016</v>
      </c>
      <c r="GG59" s="3">
        <f t="shared" si="2"/>
        <v>2016</v>
      </c>
      <c r="GH59" s="3">
        <f t="shared" si="2"/>
        <v>2016</v>
      </c>
      <c r="GI59" s="3">
        <f t="shared" si="2"/>
        <v>2016</v>
      </c>
      <c r="GJ59" s="3">
        <f t="shared" si="2"/>
        <v>2016</v>
      </c>
      <c r="GK59" s="3">
        <f t="shared" si="2"/>
        <v>2016</v>
      </c>
      <c r="GL59" s="3">
        <f t="shared" ref="GL59:IZ59" si="3">YEAR(GL43)</f>
        <v>2017</v>
      </c>
      <c r="GM59" s="3">
        <f t="shared" si="3"/>
        <v>2017</v>
      </c>
      <c r="GN59" s="3">
        <f t="shared" si="3"/>
        <v>2017</v>
      </c>
      <c r="GO59" s="3">
        <f t="shared" si="3"/>
        <v>2017</v>
      </c>
      <c r="GP59" s="3">
        <f t="shared" si="3"/>
        <v>2017</v>
      </c>
      <c r="GQ59" s="3">
        <f t="shared" si="3"/>
        <v>2017</v>
      </c>
      <c r="GR59" s="3">
        <f t="shared" si="3"/>
        <v>2017</v>
      </c>
      <c r="GS59" s="3">
        <f t="shared" si="3"/>
        <v>2017</v>
      </c>
      <c r="GT59" s="3">
        <f t="shared" si="3"/>
        <v>2017</v>
      </c>
      <c r="GU59" s="3">
        <f t="shared" si="3"/>
        <v>2017</v>
      </c>
      <c r="GV59" s="3">
        <f t="shared" si="3"/>
        <v>2017</v>
      </c>
      <c r="GW59" s="3">
        <f t="shared" si="3"/>
        <v>2017</v>
      </c>
      <c r="GX59" s="3">
        <f t="shared" si="3"/>
        <v>2018</v>
      </c>
      <c r="GY59" s="3">
        <f t="shared" si="3"/>
        <v>2018</v>
      </c>
      <c r="GZ59" s="3">
        <f t="shared" si="3"/>
        <v>2018</v>
      </c>
      <c r="HA59" s="3">
        <f t="shared" si="3"/>
        <v>2018</v>
      </c>
      <c r="HB59" s="3">
        <f t="shared" si="3"/>
        <v>2018</v>
      </c>
      <c r="HC59" s="3">
        <f t="shared" si="3"/>
        <v>2018</v>
      </c>
      <c r="HD59" s="3">
        <f t="shared" si="3"/>
        <v>2018</v>
      </c>
      <c r="HE59" s="3">
        <f t="shared" si="3"/>
        <v>2018</v>
      </c>
      <c r="HF59" s="3">
        <f t="shared" si="3"/>
        <v>2018</v>
      </c>
      <c r="HG59" s="3">
        <f t="shared" si="3"/>
        <v>2018</v>
      </c>
      <c r="HH59" s="3">
        <f t="shared" si="3"/>
        <v>2018</v>
      </c>
      <c r="HI59" s="3">
        <f t="shared" si="3"/>
        <v>2018</v>
      </c>
      <c r="HJ59" s="3">
        <f t="shared" si="3"/>
        <v>2019</v>
      </c>
      <c r="HK59" s="3">
        <f t="shared" si="3"/>
        <v>2019</v>
      </c>
      <c r="HL59" s="3">
        <f t="shared" si="3"/>
        <v>2019</v>
      </c>
      <c r="HM59" s="3">
        <f t="shared" si="3"/>
        <v>2019</v>
      </c>
      <c r="HN59" s="3">
        <f t="shared" si="3"/>
        <v>2019</v>
      </c>
      <c r="HO59" s="3">
        <f t="shared" si="3"/>
        <v>2019</v>
      </c>
      <c r="HP59" s="3">
        <f t="shared" si="3"/>
        <v>2019</v>
      </c>
      <c r="HQ59" s="3">
        <f t="shared" si="3"/>
        <v>2019</v>
      </c>
      <c r="HR59" s="3">
        <f t="shared" si="3"/>
        <v>2019</v>
      </c>
      <c r="HS59" s="3">
        <f t="shared" si="3"/>
        <v>2019</v>
      </c>
      <c r="HT59" s="3">
        <f t="shared" si="3"/>
        <v>2019</v>
      </c>
      <c r="HU59" s="3">
        <f t="shared" si="3"/>
        <v>2019</v>
      </c>
      <c r="HV59" s="3">
        <f t="shared" si="3"/>
        <v>2020</v>
      </c>
      <c r="HW59" s="3">
        <f t="shared" si="3"/>
        <v>2020</v>
      </c>
      <c r="HX59" s="3">
        <f t="shared" si="3"/>
        <v>2020</v>
      </c>
      <c r="HY59" s="3">
        <f t="shared" si="3"/>
        <v>2020</v>
      </c>
      <c r="HZ59" s="3">
        <f t="shared" si="3"/>
        <v>2020</v>
      </c>
      <c r="IA59" s="3">
        <f t="shared" si="3"/>
        <v>2020</v>
      </c>
      <c r="IB59" s="3">
        <f t="shared" si="3"/>
        <v>2020</v>
      </c>
      <c r="IC59" s="3">
        <f t="shared" si="3"/>
        <v>2020</v>
      </c>
      <c r="ID59" s="3">
        <f t="shared" si="3"/>
        <v>2020</v>
      </c>
      <c r="IE59" s="3">
        <f t="shared" si="3"/>
        <v>2020</v>
      </c>
      <c r="IF59" s="3">
        <f t="shared" si="3"/>
        <v>2020</v>
      </c>
      <c r="IG59" s="3">
        <f t="shared" si="3"/>
        <v>2020</v>
      </c>
      <c r="IH59" s="3">
        <f t="shared" si="3"/>
        <v>2021</v>
      </c>
      <c r="II59" s="3">
        <f t="shared" si="3"/>
        <v>2021</v>
      </c>
      <c r="IJ59" s="3">
        <f t="shared" si="3"/>
        <v>2021</v>
      </c>
      <c r="IK59" s="3">
        <f t="shared" si="3"/>
        <v>2021</v>
      </c>
      <c r="IL59" s="3">
        <f t="shared" si="3"/>
        <v>2021</v>
      </c>
      <c r="IM59" s="3">
        <f t="shared" si="3"/>
        <v>2021</v>
      </c>
      <c r="IN59" s="3">
        <f t="shared" si="3"/>
        <v>2021</v>
      </c>
      <c r="IO59" s="3">
        <f t="shared" si="3"/>
        <v>2021</v>
      </c>
      <c r="IP59" s="3">
        <f t="shared" si="3"/>
        <v>2021</v>
      </c>
      <c r="IQ59" s="3">
        <f t="shared" si="3"/>
        <v>2021</v>
      </c>
      <c r="IR59" s="3">
        <f t="shared" si="3"/>
        <v>2021</v>
      </c>
      <c r="IS59" s="3">
        <f t="shared" si="3"/>
        <v>2021</v>
      </c>
      <c r="IT59" s="3">
        <f t="shared" si="3"/>
        <v>2022</v>
      </c>
      <c r="IU59" s="3">
        <f t="shared" si="3"/>
        <v>2022</v>
      </c>
      <c r="IV59" s="3">
        <f t="shared" si="3"/>
        <v>2022</v>
      </c>
      <c r="IW59" s="3">
        <f t="shared" si="3"/>
        <v>2022</v>
      </c>
      <c r="IX59" s="3">
        <f t="shared" si="3"/>
        <v>2022</v>
      </c>
      <c r="IY59" s="3">
        <f t="shared" si="3"/>
        <v>2022</v>
      </c>
      <c r="IZ59" s="3">
        <f t="shared" si="3"/>
        <v>2023</v>
      </c>
      <c r="JA59" s="3">
        <f t="shared" ref="JA59:JG59" si="4">YEAR(JA43)</f>
        <v>2023</v>
      </c>
      <c r="JB59" s="3">
        <f t="shared" si="4"/>
        <v>2023</v>
      </c>
      <c r="JC59" s="3">
        <f t="shared" si="4"/>
        <v>2023</v>
      </c>
      <c r="JD59" s="3">
        <f t="shared" si="4"/>
        <v>2024</v>
      </c>
      <c r="JF59" s="107"/>
      <c r="JG59" s="107">
        <f t="shared" si="4"/>
        <v>1900</v>
      </c>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c r="MA59"/>
      <c r="MB59"/>
      <c r="MC59"/>
      <c r="MD59"/>
      <c r="ME59"/>
      <c r="MF59"/>
      <c r="MG59"/>
      <c r="MH59"/>
      <c r="MI59"/>
      <c r="MJ59"/>
      <c r="MK59"/>
      <c r="ML59"/>
      <c r="MM59"/>
      <c r="MN59"/>
      <c r="MO59"/>
      <c r="MP59"/>
      <c r="MQ59"/>
      <c r="MR59"/>
      <c r="MS59"/>
      <c r="MT59"/>
      <c r="MU59"/>
      <c r="MV59"/>
      <c r="MW59"/>
      <c r="MX59"/>
      <c r="MY59"/>
      <c r="MZ59"/>
      <c r="NA59"/>
      <c r="NB59"/>
      <c r="NC59"/>
      <c r="ND59"/>
      <c r="NE59"/>
      <c r="NF59"/>
      <c r="NG59"/>
      <c r="NH59"/>
      <c r="NI59"/>
      <c r="NJ59"/>
      <c r="NK59"/>
      <c r="NL59"/>
      <c r="NM59"/>
      <c r="NN59"/>
      <c r="NO59"/>
      <c r="NP59"/>
      <c r="NQ59"/>
      <c r="NR59"/>
      <c r="NS59"/>
      <c r="NT59"/>
      <c r="NU59"/>
      <c r="NV59"/>
      <c r="NW59"/>
      <c r="NX59"/>
      <c r="NY59"/>
      <c r="NZ59"/>
      <c r="OA59"/>
      <c r="OB59"/>
      <c r="OC59"/>
      <c r="OD59"/>
      <c r="OE59"/>
      <c r="OF59"/>
      <c r="OG59"/>
      <c r="OH59"/>
      <c r="OI59"/>
      <c r="OJ59"/>
      <c r="OK59"/>
      <c r="OL59"/>
      <c r="OM59"/>
      <c r="ON59"/>
      <c r="OO59"/>
      <c r="OP59"/>
      <c r="OQ59"/>
      <c r="OR59"/>
      <c r="OS59"/>
      <c r="OT59"/>
      <c r="OU59"/>
      <c r="OV59"/>
      <c r="OW59"/>
      <c r="OX59"/>
      <c r="OY59"/>
      <c r="OZ59"/>
      <c r="PA59"/>
      <c r="PB59"/>
      <c r="PC59"/>
      <c r="PD59"/>
      <c r="PE59"/>
      <c r="PF59"/>
      <c r="PG59"/>
      <c r="PH59"/>
      <c r="PI59"/>
      <c r="PJ59"/>
      <c r="PK59"/>
      <c r="PL59"/>
      <c r="PM59"/>
      <c r="PN59"/>
      <c r="PO59"/>
      <c r="PP59"/>
      <c r="PQ59"/>
      <c r="PR59"/>
      <c r="PS59"/>
      <c r="PT59"/>
      <c r="PU59"/>
      <c r="PV59"/>
      <c r="PW59"/>
      <c r="PX59"/>
      <c r="PY59"/>
      <c r="PZ59"/>
      <c r="QA59"/>
      <c r="QB59"/>
      <c r="QC59"/>
      <c r="QD59"/>
      <c r="QE59"/>
      <c r="QF59"/>
      <c r="QG59"/>
      <c r="QH59"/>
      <c r="QI59"/>
      <c r="QJ59"/>
      <c r="QK59"/>
      <c r="QL59"/>
      <c r="QM59"/>
      <c r="QN59"/>
      <c r="QO59"/>
      <c r="QP59"/>
      <c r="QQ59"/>
      <c r="QR59"/>
      <c r="QS59"/>
      <c r="QT59"/>
      <c r="QU59"/>
      <c r="QV59"/>
      <c r="QW59"/>
      <c r="QX59"/>
      <c r="QY59"/>
      <c r="QZ59"/>
      <c r="RA59"/>
      <c r="RB59"/>
      <c r="RC59"/>
      <c r="RD59"/>
      <c r="RE59"/>
      <c r="RF59"/>
      <c r="RG59"/>
      <c r="RH59"/>
      <c r="RI59"/>
      <c r="RJ59"/>
      <c r="RK59"/>
      <c r="RL59"/>
      <c r="RM59"/>
      <c r="RN59"/>
      <c r="RO59"/>
      <c r="RP59"/>
      <c r="RQ59"/>
      <c r="RR59"/>
      <c r="RS59"/>
      <c r="RT59"/>
      <c r="RU59"/>
      <c r="RV59"/>
      <c r="RW59"/>
      <c r="RX59"/>
      <c r="RY59"/>
      <c r="RZ59"/>
      <c r="SA59"/>
      <c r="SB59"/>
      <c r="SC59"/>
      <c r="SD59"/>
      <c r="SE59"/>
      <c r="SF59"/>
      <c r="SG59"/>
      <c r="SH59"/>
      <c r="SI59"/>
      <c r="SJ59"/>
      <c r="SK59"/>
      <c r="SL59"/>
      <c r="SM59"/>
      <c r="SN59"/>
      <c r="SO59"/>
      <c r="SP59"/>
      <c r="SQ59"/>
      <c r="SR59"/>
      <c r="SS59"/>
      <c r="ST59"/>
      <c r="SU59"/>
      <c r="SV59"/>
      <c r="SW59"/>
      <c r="SX59"/>
      <c r="SY59"/>
      <c r="SZ59" s="3">
        <f t="shared" ref="SZ59:VI59" si="5">YEAR(SZ43)</f>
        <v>1900</v>
      </c>
      <c r="TA59" s="3">
        <f t="shared" si="5"/>
        <v>1900</v>
      </c>
      <c r="TB59" s="3">
        <f t="shared" si="5"/>
        <v>1900</v>
      </c>
      <c r="TC59" s="3">
        <f t="shared" si="5"/>
        <v>1900</v>
      </c>
      <c r="TD59" s="3">
        <f t="shared" si="5"/>
        <v>1900</v>
      </c>
      <c r="TE59" s="3">
        <f t="shared" si="5"/>
        <v>1900</v>
      </c>
      <c r="TF59" s="3">
        <f t="shared" si="5"/>
        <v>1900</v>
      </c>
      <c r="TG59" s="3">
        <f t="shared" si="5"/>
        <v>1900</v>
      </c>
      <c r="TH59" s="3">
        <f t="shared" si="5"/>
        <v>1900</v>
      </c>
      <c r="TI59" s="3">
        <f t="shared" si="5"/>
        <v>1900</v>
      </c>
      <c r="TJ59" s="3">
        <f t="shared" si="5"/>
        <v>1900</v>
      </c>
      <c r="TK59" s="3">
        <f t="shared" si="5"/>
        <v>1900</v>
      </c>
      <c r="TL59" s="3">
        <f t="shared" si="5"/>
        <v>1900</v>
      </c>
      <c r="TM59" s="3">
        <f t="shared" si="5"/>
        <v>1900</v>
      </c>
      <c r="TN59" s="3">
        <f t="shared" si="5"/>
        <v>1900</v>
      </c>
      <c r="TO59" s="3">
        <f t="shared" si="5"/>
        <v>1900</v>
      </c>
      <c r="TP59" s="3">
        <f t="shared" si="5"/>
        <v>1900</v>
      </c>
      <c r="TQ59" s="3">
        <f t="shared" si="5"/>
        <v>1900</v>
      </c>
      <c r="TR59" s="3">
        <f t="shared" si="5"/>
        <v>1900</v>
      </c>
      <c r="TS59" s="3">
        <f t="shared" si="5"/>
        <v>1900</v>
      </c>
      <c r="TT59" s="3">
        <f t="shared" si="5"/>
        <v>1900</v>
      </c>
      <c r="TU59" s="3">
        <f t="shared" si="5"/>
        <v>1900</v>
      </c>
      <c r="TV59" s="3">
        <f t="shared" si="5"/>
        <v>1900</v>
      </c>
      <c r="TW59" s="3">
        <f t="shared" si="5"/>
        <v>1900</v>
      </c>
      <c r="TX59" s="3">
        <f t="shared" si="5"/>
        <v>1900</v>
      </c>
      <c r="TY59" s="3">
        <f t="shared" si="5"/>
        <v>1900</v>
      </c>
      <c r="TZ59" s="3">
        <f t="shared" si="5"/>
        <v>1900</v>
      </c>
      <c r="UA59" s="3">
        <f t="shared" si="5"/>
        <v>1900</v>
      </c>
      <c r="UB59" s="3">
        <f t="shared" si="5"/>
        <v>1900</v>
      </c>
      <c r="UC59" s="3">
        <f t="shared" si="5"/>
        <v>1900</v>
      </c>
      <c r="UD59" s="3">
        <f t="shared" si="5"/>
        <v>1900</v>
      </c>
      <c r="UE59" s="3">
        <f t="shared" si="5"/>
        <v>1900</v>
      </c>
      <c r="UF59" s="3">
        <f t="shared" si="5"/>
        <v>1900</v>
      </c>
      <c r="UG59" s="3">
        <f t="shared" si="5"/>
        <v>1900</v>
      </c>
      <c r="UH59" s="3">
        <f t="shared" si="5"/>
        <v>1900</v>
      </c>
      <c r="UI59" s="3">
        <f t="shared" si="5"/>
        <v>1900</v>
      </c>
      <c r="UJ59" s="3">
        <f t="shared" si="5"/>
        <v>1900</v>
      </c>
      <c r="UK59" s="3">
        <f t="shared" si="5"/>
        <v>1900</v>
      </c>
      <c r="UL59" s="3">
        <f t="shared" si="5"/>
        <v>1900</v>
      </c>
      <c r="UM59" s="3">
        <f t="shared" si="5"/>
        <v>1900</v>
      </c>
      <c r="UN59" s="3">
        <f t="shared" si="5"/>
        <v>1900</v>
      </c>
      <c r="UO59" s="3">
        <f t="shared" si="5"/>
        <v>1900</v>
      </c>
      <c r="UP59" s="3">
        <f t="shared" si="5"/>
        <v>1900</v>
      </c>
      <c r="UQ59" s="3">
        <f t="shared" si="5"/>
        <v>1900</v>
      </c>
      <c r="UR59" s="3">
        <f t="shared" si="5"/>
        <v>1900</v>
      </c>
      <c r="US59" s="3">
        <f t="shared" si="5"/>
        <v>1900</v>
      </c>
      <c r="UT59" s="3">
        <f t="shared" si="5"/>
        <v>1900</v>
      </c>
      <c r="UU59" s="3">
        <f t="shared" si="5"/>
        <v>1900</v>
      </c>
      <c r="UV59" s="3">
        <f t="shared" si="5"/>
        <v>1900</v>
      </c>
      <c r="UW59" s="3">
        <f t="shared" si="5"/>
        <v>1900</v>
      </c>
      <c r="UX59" s="3">
        <f t="shared" si="5"/>
        <v>1900</v>
      </c>
      <c r="UY59" s="3">
        <f t="shared" si="5"/>
        <v>1900</v>
      </c>
      <c r="UZ59" s="3">
        <f t="shared" si="5"/>
        <v>1900</v>
      </c>
      <c r="VA59" s="3">
        <f t="shared" si="5"/>
        <v>1900</v>
      </c>
      <c r="VB59" s="3">
        <f t="shared" si="5"/>
        <v>1900</v>
      </c>
      <c r="VC59" s="3">
        <f t="shared" si="5"/>
        <v>1900</v>
      </c>
      <c r="VD59" s="3">
        <f t="shared" si="5"/>
        <v>1900</v>
      </c>
      <c r="VE59" s="3">
        <f t="shared" si="5"/>
        <v>1900</v>
      </c>
      <c r="VF59" s="3">
        <f t="shared" si="5"/>
        <v>1900</v>
      </c>
      <c r="VG59" s="3">
        <f t="shared" si="5"/>
        <v>1900</v>
      </c>
      <c r="VH59" s="3">
        <f t="shared" si="5"/>
        <v>1900</v>
      </c>
      <c r="VI59" s="3">
        <f t="shared" si="5"/>
        <v>1900</v>
      </c>
      <c r="VJ59" s="3">
        <f t="shared" ref="VJ59:XU59" si="6">YEAR(VJ43)</f>
        <v>1900</v>
      </c>
      <c r="VK59" s="3">
        <f t="shared" si="6"/>
        <v>1900</v>
      </c>
      <c r="VL59" s="3">
        <f t="shared" si="6"/>
        <v>1900</v>
      </c>
      <c r="VM59" s="3">
        <f t="shared" si="6"/>
        <v>1900</v>
      </c>
      <c r="VN59" s="3">
        <f t="shared" si="6"/>
        <v>1900</v>
      </c>
      <c r="VO59" s="3">
        <f t="shared" si="6"/>
        <v>1900</v>
      </c>
      <c r="VP59" s="3">
        <f t="shared" si="6"/>
        <v>1900</v>
      </c>
      <c r="VQ59" s="3">
        <f t="shared" si="6"/>
        <v>1900</v>
      </c>
      <c r="VR59" s="3">
        <f t="shared" si="6"/>
        <v>1900</v>
      </c>
      <c r="VS59" s="3">
        <f t="shared" si="6"/>
        <v>1900</v>
      </c>
      <c r="VT59" s="3">
        <f t="shared" si="6"/>
        <v>1900</v>
      </c>
      <c r="VU59" s="3">
        <f t="shared" si="6"/>
        <v>1900</v>
      </c>
      <c r="VV59" s="3">
        <f t="shared" si="6"/>
        <v>1900</v>
      </c>
      <c r="VW59" s="3">
        <f t="shared" si="6"/>
        <v>1900</v>
      </c>
      <c r="VX59" s="3">
        <f t="shared" si="6"/>
        <v>1900</v>
      </c>
      <c r="VY59" s="3">
        <f t="shared" si="6"/>
        <v>1900</v>
      </c>
      <c r="VZ59" s="3">
        <f t="shared" si="6"/>
        <v>1900</v>
      </c>
      <c r="WA59" s="3">
        <f t="shared" si="6"/>
        <v>1900</v>
      </c>
      <c r="WB59" s="3">
        <f t="shared" si="6"/>
        <v>1900</v>
      </c>
      <c r="WC59" s="3">
        <f t="shared" si="6"/>
        <v>1900</v>
      </c>
      <c r="WD59" s="3">
        <f t="shared" si="6"/>
        <v>1900</v>
      </c>
      <c r="WE59" s="3">
        <f t="shared" si="6"/>
        <v>1900</v>
      </c>
      <c r="WF59" s="3">
        <f t="shared" si="6"/>
        <v>1900</v>
      </c>
      <c r="WG59" s="3">
        <f t="shared" si="6"/>
        <v>1900</v>
      </c>
      <c r="WH59" s="3">
        <f t="shared" si="6"/>
        <v>1900</v>
      </c>
      <c r="WI59" s="3">
        <f t="shared" si="6"/>
        <v>1900</v>
      </c>
      <c r="WJ59" s="3">
        <f t="shared" si="6"/>
        <v>1900</v>
      </c>
      <c r="WK59" s="3">
        <f t="shared" si="6"/>
        <v>1900</v>
      </c>
      <c r="WL59" s="3">
        <f t="shared" si="6"/>
        <v>1900</v>
      </c>
      <c r="WM59" s="3">
        <f t="shared" si="6"/>
        <v>1900</v>
      </c>
      <c r="WN59" s="3">
        <f t="shared" si="6"/>
        <v>1900</v>
      </c>
      <c r="WO59" s="3">
        <f t="shared" si="6"/>
        <v>1900</v>
      </c>
      <c r="WP59" s="3">
        <f t="shared" si="6"/>
        <v>1900</v>
      </c>
      <c r="WQ59" s="3">
        <f t="shared" si="6"/>
        <v>1900</v>
      </c>
      <c r="WR59" s="3">
        <f t="shared" si="6"/>
        <v>1900</v>
      </c>
      <c r="WS59" s="3">
        <f t="shared" si="6"/>
        <v>1900</v>
      </c>
      <c r="WT59" s="3">
        <f t="shared" si="6"/>
        <v>1900</v>
      </c>
      <c r="WU59" s="3">
        <f t="shared" si="6"/>
        <v>1900</v>
      </c>
      <c r="WV59" s="3">
        <f t="shared" si="6"/>
        <v>1900</v>
      </c>
      <c r="WW59" s="3">
        <f t="shared" si="6"/>
        <v>1900</v>
      </c>
      <c r="WX59" s="3">
        <f t="shared" si="6"/>
        <v>1900</v>
      </c>
      <c r="WY59" s="3">
        <f t="shared" si="6"/>
        <v>1900</v>
      </c>
      <c r="WZ59" s="3">
        <f t="shared" si="6"/>
        <v>1900</v>
      </c>
      <c r="XA59" s="3">
        <f t="shared" si="6"/>
        <v>1900</v>
      </c>
      <c r="XB59" s="3">
        <f t="shared" si="6"/>
        <v>1900</v>
      </c>
      <c r="XC59" s="3">
        <f t="shared" si="6"/>
        <v>1900</v>
      </c>
      <c r="XD59" s="3">
        <f t="shared" si="6"/>
        <v>1900</v>
      </c>
      <c r="XE59" s="3">
        <f t="shared" si="6"/>
        <v>1900</v>
      </c>
      <c r="XF59" s="3">
        <f t="shared" si="6"/>
        <v>1900</v>
      </c>
      <c r="XG59" s="3">
        <f t="shared" si="6"/>
        <v>1900</v>
      </c>
      <c r="XH59" s="3">
        <f t="shared" si="6"/>
        <v>1900</v>
      </c>
      <c r="XI59" s="3">
        <f t="shared" si="6"/>
        <v>1900</v>
      </c>
      <c r="XJ59" s="3">
        <f t="shared" si="6"/>
        <v>1900</v>
      </c>
      <c r="XK59" s="3">
        <f t="shared" si="6"/>
        <v>1900</v>
      </c>
      <c r="XL59" s="3">
        <f t="shared" si="6"/>
        <v>1900</v>
      </c>
      <c r="XM59" s="3">
        <f t="shared" si="6"/>
        <v>1900</v>
      </c>
      <c r="XN59" s="3">
        <f t="shared" si="6"/>
        <v>1900</v>
      </c>
      <c r="XO59" s="3">
        <f t="shared" si="6"/>
        <v>1900</v>
      </c>
      <c r="XP59" s="3">
        <f t="shared" si="6"/>
        <v>1900</v>
      </c>
      <c r="XQ59" s="3">
        <f t="shared" si="6"/>
        <v>1900</v>
      </c>
      <c r="XR59" s="3">
        <f t="shared" si="6"/>
        <v>1900</v>
      </c>
      <c r="XS59" s="3">
        <f t="shared" si="6"/>
        <v>1900</v>
      </c>
      <c r="XT59" s="3">
        <f t="shared" si="6"/>
        <v>1900</v>
      </c>
      <c r="XU59" s="3">
        <f t="shared" si="6"/>
        <v>1900</v>
      </c>
      <c r="XV59" s="3">
        <f t="shared" ref="XV59:YS59" si="7">YEAR(XV43)</f>
        <v>1900</v>
      </c>
      <c r="XW59" s="3">
        <f t="shared" si="7"/>
        <v>1900</v>
      </c>
      <c r="XX59" s="3">
        <f t="shared" si="7"/>
        <v>1900</v>
      </c>
      <c r="XY59" s="3">
        <f t="shared" si="7"/>
        <v>1900</v>
      </c>
      <c r="XZ59" s="3">
        <f t="shared" si="7"/>
        <v>1900</v>
      </c>
      <c r="YA59" s="3">
        <f t="shared" si="7"/>
        <v>1900</v>
      </c>
      <c r="YB59" s="3">
        <f t="shared" si="7"/>
        <v>1900</v>
      </c>
      <c r="YC59" s="3">
        <f t="shared" si="7"/>
        <v>1900</v>
      </c>
      <c r="YD59" s="3">
        <f t="shared" si="7"/>
        <v>1900</v>
      </c>
      <c r="YE59" s="3">
        <f t="shared" si="7"/>
        <v>1900</v>
      </c>
      <c r="YF59" s="3">
        <f t="shared" si="7"/>
        <v>1900</v>
      </c>
      <c r="YG59" s="3">
        <f t="shared" si="7"/>
        <v>1900</v>
      </c>
      <c r="YH59" s="3">
        <f t="shared" si="7"/>
        <v>1900</v>
      </c>
      <c r="YI59" s="3">
        <f t="shared" si="7"/>
        <v>1900</v>
      </c>
      <c r="YJ59" s="3">
        <f t="shared" si="7"/>
        <v>1900</v>
      </c>
      <c r="YK59" s="3">
        <f t="shared" si="7"/>
        <v>1900</v>
      </c>
      <c r="YL59" s="3">
        <f t="shared" si="7"/>
        <v>1900</v>
      </c>
      <c r="YM59" s="3">
        <f t="shared" si="7"/>
        <v>1900</v>
      </c>
      <c r="YN59" s="3">
        <f t="shared" si="7"/>
        <v>1900</v>
      </c>
      <c r="YO59" s="3">
        <f t="shared" si="7"/>
        <v>1900</v>
      </c>
      <c r="YP59" s="3">
        <f t="shared" si="7"/>
        <v>1900</v>
      </c>
      <c r="YQ59" s="3">
        <f t="shared" si="7"/>
        <v>1900</v>
      </c>
      <c r="YR59" s="3">
        <f t="shared" si="7"/>
        <v>1900</v>
      </c>
      <c r="YS59" s="3">
        <f t="shared" si="7"/>
        <v>1900</v>
      </c>
    </row>
    <row r="60" spans="1:669" s="456" customFormat="1" ht="15" hidden="1" customHeight="1" thickBot="1" x14ac:dyDescent="0.35">
      <c r="A60" s="455" t="s">
        <v>195</v>
      </c>
      <c r="B60" s="456" t="str">
        <f t="shared" ref="B60:BM60" si="8">IF(MONTH(B43)&gt;6,"2","1")</f>
        <v>1</v>
      </c>
      <c r="C60" s="456" t="str">
        <f t="shared" si="8"/>
        <v>1</v>
      </c>
      <c r="D60" s="456" t="str">
        <f t="shared" si="8"/>
        <v>1</v>
      </c>
      <c r="E60" s="456" t="str">
        <f t="shared" si="8"/>
        <v>1</v>
      </c>
      <c r="F60" s="456" t="str">
        <f t="shared" si="8"/>
        <v>1</v>
      </c>
      <c r="G60" s="456" t="str">
        <f t="shared" si="8"/>
        <v>1</v>
      </c>
      <c r="H60" s="456" t="str">
        <f t="shared" si="8"/>
        <v>2</v>
      </c>
      <c r="I60" s="456" t="str">
        <f t="shared" si="8"/>
        <v>2</v>
      </c>
      <c r="J60" s="456" t="str">
        <f t="shared" si="8"/>
        <v>2</v>
      </c>
      <c r="K60" s="456" t="str">
        <f t="shared" si="8"/>
        <v>2</v>
      </c>
      <c r="L60" s="456" t="str">
        <f t="shared" si="8"/>
        <v>2</v>
      </c>
      <c r="M60" s="456" t="str">
        <f t="shared" si="8"/>
        <v>2</v>
      </c>
      <c r="N60" s="456" t="str">
        <f t="shared" si="8"/>
        <v>1</v>
      </c>
      <c r="O60" s="456" t="str">
        <f t="shared" si="8"/>
        <v>1</v>
      </c>
      <c r="P60" s="456" t="str">
        <f t="shared" si="8"/>
        <v>1</v>
      </c>
      <c r="Q60" s="456" t="str">
        <f t="shared" si="8"/>
        <v>1</v>
      </c>
      <c r="R60" s="456" t="str">
        <f t="shared" si="8"/>
        <v>1</v>
      </c>
      <c r="S60" s="456" t="str">
        <f t="shared" si="8"/>
        <v>1</v>
      </c>
      <c r="T60" s="456" t="str">
        <f t="shared" si="8"/>
        <v>2</v>
      </c>
      <c r="U60" s="456" t="str">
        <f t="shared" si="8"/>
        <v>2</v>
      </c>
      <c r="V60" s="456" t="str">
        <f t="shared" si="8"/>
        <v>2</v>
      </c>
      <c r="W60" s="456" t="str">
        <f t="shared" si="8"/>
        <v>2</v>
      </c>
      <c r="X60" s="456" t="str">
        <f t="shared" si="8"/>
        <v>2</v>
      </c>
      <c r="Y60" s="456" t="str">
        <f t="shared" si="8"/>
        <v>2</v>
      </c>
      <c r="Z60" s="456" t="str">
        <f t="shared" si="8"/>
        <v>1</v>
      </c>
      <c r="AA60" s="456" t="str">
        <f t="shared" si="8"/>
        <v>1</v>
      </c>
      <c r="AB60" s="456" t="str">
        <f t="shared" si="8"/>
        <v>1</v>
      </c>
      <c r="AC60" s="456" t="str">
        <f t="shared" si="8"/>
        <v>1</v>
      </c>
      <c r="AD60" s="456" t="str">
        <f t="shared" si="8"/>
        <v>1</v>
      </c>
      <c r="AE60" s="456" t="str">
        <f t="shared" si="8"/>
        <v>1</v>
      </c>
      <c r="AF60" s="456" t="str">
        <f t="shared" si="8"/>
        <v>2</v>
      </c>
      <c r="AG60" s="456" t="str">
        <f t="shared" si="8"/>
        <v>2</v>
      </c>
      <c r="AH60" s="456" t="str">
        <f t="shared" si="8"/>
        <v>2</v>
      </c>
      <c r="AI60" s="456" t="str">
        <f t="shared" si="8"/>
        <v>2</v>
      </c>
      <c r="AJ60" s="456" t="str">
        <f t="shared" si="8"/>
        <v>2</v>
      </c>
      <c r="AK60" s="456" t="str">
        <f t="shared" si="8"/>
        <v>2</v>
      </c>
      <c r="AL60" s="456" t="str">
        <f t="shared" si="8"/>
        <v>1</v>
      </c>
      <c r="AM60" s="456" t="str">
        <f t="shared" si="8"/>
        <v>1</v>
      </c>
      <c r="AN60" s="456" t="str">
        <f t="shared" si="8"/>
        <v>1</v>
      </c>
      <c r="AO60" s="456" t="str">
        <f t="shared" si="8"/>
        <v>1</v>
      </c>
      <c r="AP60" s="456" t="str">
        <f t="shared" si="8"/>
        <v>1</v>
      </c>
      <c r="AQ60" s="456" t="str">
        <f t="shared" si="8"/>
        <v>1</v>
      </c>
      <c r="AR60" s="456" t="str">
        <f t="shared" si="8"/>
        <v>2</v>
      </c>
      <c r="AS60" s="456" t="str">
        <f t="shared" si="8"/>
        <v>2</v>
      </c>
      <c r="AT60" s="456" t="str">
        <f t="shared" si="8"/>
        <v>2</v>
      </c>
      <c r="AU60" s="456" t="str">
        <f t="shared" si="8"/>
        <v>2</v>
      </c>
      <c r="AV60" s="456" t="str">
        <f t="shared" si="8"/>
        <v>2</v>
      </c>
      <c r="AW60" s="456" t="str">
        <f t="shared" si="8"/>
        <v>2</v>
      </c>
      <c r="AX60" s="456" t="str">
        <f t="shared" si="8"/>
        <v>1</v>
      </c>
      <c r="AY60" s="456" t="str">
        <f t="shared" si="8"/>
        <v>1</v>
      </c>
      <c r="AZ60" s="456" t="str">
        <f t="shared" si="8"/>
        <v>1</v>
      </c>
      <c r="BA60" s="456" t="str">
        <f t="shared" si="8"/>
        <v>1</v>
      </c>
      <c r="BB60" s="456" t="str">
        <f t="shared" si="8"/>
        <v>1</v>
      </c>
      <c r="BC60" s="456" t="str">
        <f t="shared" si="8"/>
        <v>1</v>
      </c>
      <c r="BD60" s="456" t="str">
        <f t="shared" si="8"/>
        <v>2</v>
      </c>
      <c r="BE60" s="456" t="str">
        <f t="shared" si="8"/>
        <v>2</v>
      </c>
      <c r="BF60" s="456" t="str">
        <f t="shared" si="8"/>
        <v>2</v>
      </c>
      <c r="BG60" s="456" t="str">
        <f t="shared" si="8"/>
        <v>2</v>
      </c>
      <c r="BH60" s="456" t="str">
        <f t="shared" si="8"/>
        <v>2</v>
      </c>
      <c r="BI60" s="456" t="str">
        <f t="shared" si="8"/>
        <v>2</v>
      </c>
      <c r="BJ60" s="456" t="str">
        <f t="shared" si="8"/>
        <v>1</v>
      </c>
      <c r="BK60" s="456" t="str">
        <f t="shared" si="8"/>
        <v>1</v>
      </c>
      <c r="BL60" s="456" t="str">
        <f t="shared" si="8"/>
        <v>1</v>
      </c>
      <c r="BM60" s="456" t="str">
        <f t="shared" si="8"/>
        <v>1</v>
      </c>
      <c r="BN60" s="456" t="str">
        <f t="shared" ref="BN60:DY60" si="9">IF(MONTH(BN43)&gt;6,"2","1")</f>
        <v>1</v>
      </c>
      <c r="BO60" s="456" t="str">
        <f t="shared" si="9"/>
        <v>1</v>
      </c>
      <c r="BP60" s="456" t="str">
        <f t="shared" si="9"/>
        <v>2</v>
      </c>
      <c r="BQ60" s="456" t="str">
        <f t="shared" si="9"/>
        <v>2</v>
      </c>
      <c r="BR60" s="456" t="str">
        <f t="shared" si="9"/>
        <v>2</v>
      </c>
      <c r="BS60" s="456" t="str">
        <f t="shared" si="9"/>
        <v>2</v>
      </c>
      <c r="BT60" s="456" t="str">
        <f t="shared" si="9"/>
        <v>2</v>
      </c>
      <c r="BU60" s="456" t="str">
        <f t="shared" si="9"/>
        <v>2</v>
      </c>
      <c r="BV60" s="456" t="str">
        <f t="shared" si="9"/>
        <v>1</v>
      </c>
      <c r="BW60" s="456" t="str">
        <f t="shared" si="9"/>
        <v>1</v>
      </c>
      <c r="BX60" s="456" t="str">
        <f t="shared" si="9"/>
        <v>1</v>
      </c>
      <c r="BY60" s="456" t="str">
        <f t="shared" si="9"/>
        <v>1</v>
      </c>
      <c r="BZ60" s="456" t="str">
        <f t="shared" si="9"/>
        <v>1</v>
      </c>
      <c r="CA60" s="456" t="str">
        <f t="shared" si="9"/>
        <v>1</v>
      </c>
      <c r="CB60" s="456" t="str">
        <f t="shared" si="9"/>
        <v>2</v>
      </c>
      <c r="CC60" s="456" t="str">
        <f t="shared" si="9"/>
        <v>2</v>
      </c>
      <c r="CD60" s="456" t="str">
        <f t="shared" si="9"/>
        <v>2</v>
      </c>
      <c r="CE60" s="456" t="str">
        <f t="shared" si="9"/>
        <v>2</v>
      </c>
      <c r="CF60" s="456" t="str">
        <f t="shared" si="9"/>
        <v>2</v>
      </c>
      <c r="CG60" s="456" t="str">
        <f t="shared" si="9"/>
        <v>2</v>
      </c>
      <c r="CH60" s="456" t="str">
        <f t="shared" si="9"/>
        <v>1</v>
      </c>
      <c r="CI60" s="456" t="str">
        <f t="shared" si="9"/>
        <v>1</v>
      </c>
      <c r="CJ60" s="456" t="str">
        <f t="shared" si="9"/>
        <v>1</v>
      </c>
      <c r="CK60" s="456" t="str">
        <f t="shared" si="9"/>
        <v>1</v>
      </c>
      <c r="CL60" s="456" t="str">
        <f t="shared" si="9"/>
        <v>1</v>
      </c>
      <c r="CM60" s="456" t="str">
        <f t="shared" si="9"/>
        <v>1</v>
      </c>
      <c r="CN60" s="456" t="str">
        <f t="shared" si="9"/>
        <v>2</v>
      </c>
      <c r="CO60" s="456" t="str">
        <f t="shared" si="9"/>
        <v>2</v>
      </c>
      <c r="CP60" s="456" t="str">
        <f t="shared" si="9"/>
        <v>2</v>
      </c>
      <c r="CQ60" s="456" t="str">
        <f t="shared" si="9"/>
        <v>2</v>
      </c>
      <c r="CR60" s="456" t="str">
        <f t="shared" si="9"/>
        <v>2</v>
      </c>
      <c r="CS60" s="456" t="str">
        <f t="shared" si="9"/>
        <v>2</v>
      </c>
      <c r="CT60" s="456" t="str">
        <f t="shared" si="9"/>
        <v>1</v>
      </c>
      <c r="CU60" s="456" t="str">
        <f t="shared" si="9"/>
        <v>1</v>
      </c>
      <c r="CV60" s="456" t="str">
        <f t="shared" si="9"/>
        <v>1</v>
      </c>
      <c r="CW60" s="456" t="str">
        <f t="shared" si="9"/>
        <v>1</v>
      </c>
      <c r="CX60" s="456" t="str">
        <f t="shared" si="9"/>
        <v>1</v>
      </c>
      <c r="CY60" s="456" t="str">
        <f t="shared" si="9"/>
        <v>1</v>
      </c>
      <c r="CZ60" s="456" t="str">
        <f t="shared" si="9"/>
        <v>2</v>
      </c>
      <c r="DA60" s="456" t="str">
        <f t="shared" si="9"/>
        <v>2</v>
      </c>
      <c r="DB60" s="456" t="str">
        <f t="shared" si="9"/>
        <v>2</v>
      </c>
      <c r="DC60" s="456" t="str">
        <f t="shared" si="9"/>
        <v>2</v>
      </c>
      <c r="DD60" s="456" t="str">
        <f t="shared" si="9"/>
        <v>2</v>
      </c>
      <c r="DE60" s="456" t="str">
        <f t="shared" si="9"/>
        <v>2</v>
      </c>
      <c r="DF60" s="456" t="str">
        <f t="shared" si="9"/>
        <v>1</v>
      </c>
      <c r="DG60" s="456" t="str">
        <f t="shared" si="9"/>
        <v>1</v>
      </c>
      <c r="DH60" s="456" t="str">
        <f t="shared" si="9"/>
        <v>1</v>
      </c>
      <c r="DI60" s="456" t="str">
        <f t="shared" si="9"/>
        <v>1</v>
      </c>
      <c r="DJ60" s="456" t="str">
        <f t="shared" si="9"/>
        <v>1</v>
      </c>
      <c r="DK60" s="456" t="str">
        <f t="shared" si="9"/>
        <v>1</v>
      </c>
      <c r="DL60" s="456" t="str">
        <f t="shared" si="9"/>
        <v>2</v>
      </c>
      <c r="DM60" s="456" t="str">
        <f t="shared" si="9"/>
        <v>2</v>
      </c>
      <c r="DN60" s="456" t="str">
        <f t="shared" si="9"/>
        <v>2</v>
      </c>
      <c r="DO60" s="456" t="str">
        <f t="shared" si="9"/>
        <v>2</v>
      </c>
      <c r="DP60" s="456" t="str">
        <f t="shared" si="9"/>
        <v>2</v>
      </c>
      <c r="DQ60" s="456" t="str">
        <f t="shared" si="9"/>
        <v>2</v>
      </c>
      <c r="DR60" s="456" t="str">
        <f t="shared" si="9"/>
        <v>1</v>
      </c>
      <c r="DS60" s="456" t="str">
        <f t="shared" si="9"/>
        <v>1</v>
      </c>
      <c r="DT60" s="456" t="str">
        <f t="shared" si="9"/>
        <v>1</v>
      </c>
      <c r="DU60" s="456" t="str">
        <f t="shared" si="9"/>
        <v>1</v>
      </c>
      <c r="DV60" s="456" t="str">
        <f t="shared" si="9"/>
        <v>1</v>
      </c>
      <c r="DW60" s="456" t="str">
        <f t="shared" si="9"/>
        <v>1</v>
      </c>
      <c r="DX60" s="456" t="str">
        <f t="shared" si="9"/>
        <v>2</v>
      </c>
      <c r="DY60" s="456" t="str">
        <f t="shared" si="9"/>
        <v>2</v>
      </c>
      <c r="DZ60" s="456" t="str">
        <f t="shared" ref="DZ60:GK60" si="10">IF(MONTH(DZ43)&gt;6,"2","1")</f>
        <v>2</v>
      </c>
      <c r="EA60" s="456" t="str">
        <f t="shared" si="10"/>
        <v>2</v>
      </c>
      <c r="EB60" s="456" t="str">
        <f t="shared" si="10"/>
        <v>2</v>
      </c>
      <c r="EC60" s="456" t="str">
        <f t="shared" si="10"/>
        <v>2</v>
      </c>
      <c r="ED60" s="456" t="str">
        <f t="shared" si="10"/>
        <v>1</v>
      </c>
      <c r="EE60" s="456" t="str">
        <f t="shared" si="10"/>
        <v>1</v>
      </c>
      <c r="EF60" s="456" t="str">
        <f t="shared" si="10"/>
        <v>1</v>
      </c>
      <c r="EG60" s="456" t="str">
        <f t="shared" si="10"/>
        <v>1</v>
      </c>
      <c r="EH60" s="456" t="str">
        <f t="shared" si="10"/>
        <v>1</v>
      </c>
      <c r="EI60" s="456" t="str">
        <f t="shared" si="10"/>
        <v>1</v>
      </c>
      <c r="EJ60" s="456" t="str">
        <f t="shared" si="10"/>
        <v>2</v>
      </c>
      <c r="EK60" s="456" t="str">
        <f t="shared" si="10"/>
        <v>2</v>
      </c>
      <c r="EL60" s="456" t="str">
        <f t="shared" si="10"/>
        <v>2</v>
      </c>
      <c r="EM60" s="456" t="str">
        <f t="shared" si="10"/>
        <v>2</v>
      </c>
      <c r="EN60" s="456" t="str">
        <f t="shared" si="10"/>
        <v>2</v>
      </c>
      <c r="EO60" s="456" t="str">
        <f t="shared" si="10"/>
        <v>2</v>
      </c>
      <c r="EP60" s="456" t="str">
        <f t="shared" si="10"/>
        <v>1</v>
      </c>
      <c r="EQ60" s="456" t="str">
        <f t="shared" si="10"/>
        <v>1</v>
      </c>
      <c r="ER60" s="456" t="str">
        <f t="shared" si="10"/>
        <v>1</v>
      </c>
      <c r="ES60" s="456" t="str">
        <f t="shared" si="10"/>
        <v>1</v>
      </c>
      <c r="ET60" s="456" t="str">
        <f t="shared" si="10"/>
        <v>1</v>
      </c>
      <c r="EU60" s="456" t="str">
        <f t="shared" si="10"/>
        <v>1</v>
      </c>
      <c r="EV60" s="456" t="str">
        <f t="shared" si="10"/>
        <v>2</v>
      </c>
      <c r="EW60" s="456" t="str">
        <f t="shared" si="10"/>
        <v>2</v>
      </c>
      <c r="EX60" s="456" t="str">
        <f t="shared" si="10"/>
        <v>2</v>
      </c>
      <c r="EY60" s="456" t="str">
        <f t="shared" si="10"/>
        <v>2</v>
      </c>
      <c r="EZ60" s="456" t="str">
        <f t="shared" si="10"/>
        <v>2</v>
      </c>
      <c r="FA60" s="456" t="str">
        <f t="shared" si="10"/>
        <v>2</v>
      </c>
      <c r="FB60" s="456" t="str">
        <f t="shared" si="10"/>
        <v>1</v>
      </c>
      <c r="FC60" s="456" t="str">
        <f t="shared" si="10"/>
        <v>1</v>
      </c>
      <c r="FD60" s="456" t="str">
        <f t="shared" si="10"/>
        <v>1</v>
      </c>
      <c r="FE60" s="456" t="str">
        <f t="shared" si="10"/>
        <v>1</v>
      </c>
      <c r="FF60" s="456" t="str">
        <f t="shared" si="10"/>
        <v>1</v>
      </c>
      <c r="FG60" s="456" t="str">
        <f t="shared" si="10"/>
        <v>1</v>
      </c>
      <c r="FH60" s="456" t="str">
        <f t="shared" si="10"/>
        <v>2</v>
      </c>
      <c r="FI60" s="456" t="str">
        <f t="shared" si="10"/>
        <v>2</v>
      </c>
      <c r="FJ60" s="456" t="str">
        <f t="shared" si="10"/>
        <v>2</v>
      </c>
      <c r="FK60" s="456" t="str">
        <f t="shared" si="10"/>
        <v>2</v>
      </c>
      <c r="FL60" s="456" t="str">
        <f t="shared" si="10"/>
        <v>2</v>
      </c>
      <c r="FM60" s="456" t="str">
        <f t="shared" si="10"/>
        <v>2</v>
      </c>
      <c r="FN60" s="456" t="str">
        <f t="shared" si="10"/>
        <v>1</v>
      </c>
      <c r="FO60" s="456" t="str">
        <f t="shared" si="10"/>
        <v>1</v>
      </c>
      <c r="FP60" s="456" t="str">
        <f t="shared" si="10"/>
        <v>1</v>
      </c>
      <c r="FQ60" s="456" t="str">
        <f t="shared" si="10"/>
        <v>1</v>
      </c>
      <c r="FR60" s="456" t="str">
        <f t="shared" si="10"/>
        <v>1</v>
      </c>
      <c r="FS60" s="456" t="str">
        <f t="shared" si="10"/>
        <v>1</v>
      </c>
      <c r="FT60" s="456" t="str">
        <f t="shared" si="10"/>
        <v>2</v>
      </c>
      <c r="FU60" s="456" t="str">
        <f t="shared" si="10"/>
        <v>2</v>
      </c>
      <c r="FV60" s="456" t="str">
        <f t="shared" si="10"/>
        <v>2</v>
      </c>
      <c r="FW60" s="456" t="str">
        <f t="shared" si="10"/>
        <v>2</v>
      </c>
      <c r="FX60" s="456" t="str">
        <f t="shared" si="10"/>
        <v>2</v>
      </c>
      <c r="FY60" s="456" t="str">
        <f t="shared" si="10"/>
        <v>2</v>
      </c>
      <c r="FZ60" s="456" t="str">
        <f t="shared" si="10"/>
        <v>1</v>
      </c>
      <c r="GA60" s="456" t="str">
        <f t="shared" si="10"/>
        <v>1</v>
      </c>
      <c r="GB60" s="456" t="str">
        <f t="shared" si="10"/>
        <v>1</v>
      </c>
      <c r="GC60" s="456" t="str">
        <f t="shared" si="10"/>
        <v>1</v>
      </c>
      <c r="GD60" s="456" t="str">
        <f t="shared" si="10"/>
        <v>1</v>
      </c>
      <c r="GE60" s="456" t="str">
        <f t="shared" si="10"/>
        <v>1</v>
      </c>
      <c r="GF60" s="456" t="str">
        <f t="shared" si="10"/>
        <v>2</v>
      </c>
      <c r="GG60" s="456" t="str">
        <f t="shared" si="10"/>
        <v>2</v>
      </c>
      <c r="GH60" s="456" t="str">
        <f t="shared" si="10"/>
        <v>2</v>
      </c>
      <c r="GI60" s="456" t="str">
        <f t="shared" si="10"/>
        <v>2</v>
      </c>
      <c r="GJ60" s="456" t="str">
        <f t="shared" si="10"/>
        <v>2</v>
      </c>
      <c r="GK60" s="456" t="str">
        <f t="shared" si="10"/>
        <v>2</v>
      </c>
      <c r="GL60" s="456" t="str">
        <f t="shared" ref="GL60:IN60" si="11">IF(MONTH(GL43)&gt;6,"2","1")</f>
        <v>1</v>
      </c>
      <c r="GM60" s="456" t="str">
        <f t="shared" si="11"/>
        <v>1</v>
      </c>
      <c r="GN60" s="456" t="str">
        <f t="shared" si="11"/>
        <v>1</v>
      </c>
      <c r="GO60" s="456" t="str">
        <f t="shared" si="11"/>
        <v>1</v>
      </c>
      <c r="GP60" s="456" t="str">
        <f t="shared" si="11"/>
        <v>1</v>
      </c>
      <c r="GQ60" s="456" t="str">
        <f t="shared" si="11"/>
        <v>1</v>
      </c>
      <c r="GR60" s="456" t="str">
        <f t="shared" si="11"/>
        <v>2</v>
      </c>
      <c r="GS60" s="456" t="str">
        <f t="shared" si="11"/>
        <v>2</v>
      </c>
      <c r="GT60" s="456" t="str">
        <f t="shared" si="11"/>
        <v>2</v>
      </c>
      <c r="GU60" s="456" t="str">
        <f t="shared" si="11"/>
        <v>2</v>
      </c>
      <c r="GV60" s="456" t="str">
        <f t="shared" si="11"/>
        <v>2</v>
      </c>
      <c r="GW60" s="456" t="str">
        <f t="shared" si="11"/>
        <v>2</v>
      </c>
      <c r="GX60" s="456" t="str">
        <f t="shared" si="11"/>
        <v>1</v>
      </c>
      <c r="GY60" s="456" t="str">
        <f t="shared" si="11"/>
        <v>1</v>
      </c>
      <c r="GZ60" s="456" t="str">
        <f t="shared" si="11"/>
        <v>1</v>
      </c>
      <c r="HA60" s="456" t="str">
        <f t="shared" si="11"/>
        <v>1</v>
      </c>
      <c r="HB60" s="456" t="str">
        <f t="shared" si="11"/>
        <v>1</v>
      </c>
      <c r="HC60" s="456" t="str">
        <f t="shared" si="11"/>
        <v>1</v>
      </c>
      <c r="HD60" s="456" t="str">
        <f t="shared" si="11"/>
        <v>2</v>
      </c>
      <c r="HE60" s="456" t="str">
        <f t="shared" si="11"/>
        <v>2</v>
      </c>
      <c r="HF60" s="456" t="str">
        <f t="shared" si="11"/>
        <v>2</v>
      </c>
      <c r="HG60" s="456" t="str">
        <f t="shared" si="11"/>
        <v>2</v>
      </c>
      <c r="HH60" s="456" t="str">
        <f t="shared" si="11"/>
        <v>2</v>
      </c>
      <c r="HI60" s="456" t="str">
        <f t="shared" si="11"/>
        <v>2</v>
      </c>
      <c r="HJ60" s="456" t="str">
        <f t="shared" si="11"/>
        <v>1</v>
      </c>
      <c r="HK60" s="456" t="str">
        <f t="shared" si="11"/>
        <v>1</v>
      </c>
      <c r="HL60" s="456" t="str">
        <f t="shared" si="11"/>
        <v>1</v>
      </c>
      <c r="HM60" s="456" t="str">
        <f t="shared" si="11"/>
        <v>1</v>
      </c>
      <c r="HN60" s="456" t="str">
        <f t="shared" si="11"/>
        <v>1</v>
      </c>
      <c r="HO60" s="456" t="str">
        <f t="shared" si="11"/>
        <v>1</v>
      </c>
      <c r="HP60" s="456" t="str">
        <f t="shared" si="11"/>
        <v>2</v>
      </c>
      <c r="HQ60" s="456" t="str">
        <f t="shared" si="11"/>
        <v>2</v>
      </c>
      <c r="HR60" s="456" t="str">
        <f t="shared" si="11"/>
        <v>2</v>
      </c>
      <c r="HS60" s="456" t="str">
        <f t="shared" si="11"/>
        <v>2</v>
      </c>
      <c r="HT60" s="456" t="str">
        <f t="shared" si="11"/>
        <v>2</v>
      </c>
      <c r="HU60" s="456" t="str">
        <f t="shared" si="11"/>
        <v>2</v>
      </c>
      <c r="HV60" s="456" t="str">
        <f t="shared" si="11"/>
        <v>1</v>
      </c>
      <c r="HW60" s="456" t="str">
        <f t="shared" si="11"/>
        <v>1</v>
      </c>
      <c r="HX60" s="456" t="str">
        <f t="shared" si="11"/>
        <v>1</v>
      </c>
      <c r="HY60" s="456" t="str">
        <f t="shared" si="11"/>
        <v>1</v>
      </c>
      <c r="HZ60" s="456" t="str">
        <f t="shared" si="11"/>
        <v>1</v>
      </c>
      <c r="IA60" s="456" t="str">
        <f t="shared" si="11"/>
        <v>1</v>
      </c>
      <c r="IB60" s="456" t="str">
        <f t="shared" si="11"/>
        <v>2</v>
      </c>
      <c r="IC60" s="456" t="str">
        <f t="shared" si="11"/>
        <v>2</v>
      </c>
      <c r="ID60" s="456" t="str">
        <f t="shared" si="11"/>
        <v>2</v>
      </c>
      <c r="IE60" s="456" t="str">
        <f t="shared" si="11"/>
        <v>2</v>
      </c>
      <c r="IF60" s="456" t="str">
        <f t="shared" si="11"/>
        <v>2</v>
      </c>
      <c r="IG60" s="456" t="str">
        <f t="shared" si="11"/>
        <v>2</v>
      </c>
      <c r="IH60" s="456" t="str">
        <f t="shared" si="11"/>
        <v>1</v>
      </c>
      <c r="II60" s="456" t="str">
        <f t="shared" si="11"/>
        <v>1</v>
      </c>
      <c r="IJ60" s="456" t="str">
        <f t="shared" si="11"/>
        <v>1</v>
      </c>
      <c r="IK60" s="456" t="str">
        <f t="shared" si="11"/>
        <v>1</v>
      </c>
      <c r="IL60" s="456" t="str">
        <f t="shared" si="11"/>
        <v>1</v>
      </c>
      <c r="IM60" s="456" t="str">
        <f t="shared" si="11"/>
        <v>1</v>
      </c>
      <c r="IN60" s="456" t="str">
        <f t="shared" si="11"/>
        <v>2</v>
      </c>
      <c r="IO60" s="456">
        <v>2</v>
      </c>
      <c r="IP60" s="456">
        <v>2</v>
      </c>
      <c r="IQ60" s="456">
        <v>2</v>
      </c>
      <c r="IR60" s="456">
        <v>2</v>
      </c>
      <c r="IS60" s="456">
        <v>2</v>
      </c>
      <c r="IT60" s="456" t="str">
        <f t="shared" ref="IT60:JG60" si="12">IF(MONTH(IT43)&gt;6,"2","1")</f>
        <v>1</v>
      </c>
      <c r="IU60" s="456" t="str">
        <f t="shared" si="12"/>
        <v>1</v>
      </c>
      <c r="IV60" s="456" t="str">
        <f t="shared" si="12"/>
        <v>1</v>
      </c>
      <c r="IW60" s="456" t="str">
        <f t="shared" si="12"/>
        <v>1</v>
      </c>
      <c r="IX60" s="456" t="str">
        <f t="shared" si="12"/>
        <v>2</v>
      </c>
      <c r="IY60" s="456" t="str">
        <f t="shared" si="12"/>
        <v>2</v>
      </c>
      <c r="IZ60" s="456" t="str">
        <f t="shared" si="12"/>
        <v>1</v>
      </c>
      <c r="JA60" s="456" t="str">
        <f t="shared" si="12"/>
        <v>1</v>
      </c>
      <c r="JB60" s="456" t="str">
        <f t="shared" si="12"/>
        <v>2</v>
      </c>
      <c r="JC60" s="456" t="str">
        <f t="shared" si="12"/>
        <v>2</v>
      </c>
      <c r="JD60" s="456" t="str">
        <f t="shared" si="12"/>
        <v>1</v>
      </c>
      <c r="JF60" s="604"/>
      <c r="JG60" s="604" t="str">
        <f t="shared" si="12"/>
        <v>1</v>
      </c>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c r="MA60"/>
      <c r="MB60"/>
      <c r="MC60"/>
      <c r="MD60"/>
      <c r="ME60"/>
      <c r="MF60"/>
      <c r="MG60"/>
      <c r="MH60"/>
      <c r="MI60"/>
      <c r="MJ60"/>
      <c r="MK60"/>
      <c r="ML60"/>
      <c r="MM60"/>
      <c r="MN60"/>
      <c r="MO60"/>
      <c r="MP60"/>
      <c r="MQ60"/>
      <c r="MR60"/>
      <c r="MS60"/>
      <c r="MT60"/>
      <c r="MU60"/>
      <c r="MV60"/>
      <c r="MW60"/>
      <c r="MX60"/>
      <c r="MY60"/>
      <c r="MZ60"/>
      <c r="NA60"/>
      <c r="NB60"/>
      <c r="NC60"/>
      <c r="ND60"/>
      <c r="NE60"/>
      <c r="NF60"/>
      <c r="NG60"/>
      <c r="NH60"/>
      <c r="NI60"/>
      <c r="NJ60"/>
      <c r="NK60"/>
      <c r="NL60"/>
      <c r="NM60"/>
      <c r="NN60"/>
      <c r="NO60"/>
      <c r="NP60"/>
      <c r="NQ60"/>
      <c r="NR60"/>
      <c r="NS60"/>
      <c r="NT60"/>
      <c r="NU60"/>
      <c r="NV60"/>
      <c r="NW60"/>
      <c r="NX60"/>
      <c r="NY60"/>
      <c r="NZ60"/>
      <c r="OA60"/>
      <c r="OB60"/>
      <c r="OC60"/>
      <c r="OD60"/>
      <c r="OE60"/>
      <c r="OF60"/>
      <c r="OG60"/>
      <c r="OH60"/>
      <c r="OI60"/>
      <c r="OJ60"/>
      <c r="OK60"/>
      <c r="OL60"/>
      <c r="OM60"/>
      <c r="ON60"/>
      <c r="OO60"/>
      <c r="OP60"/>
      <c r="OQ60"/>
      <c r="OR60"/>
      <c r="OS60"/>
      <c r="OT60"/>
      <c r="OU60"/>
      <c r="OV60"/>
      <c r="OW60"/>
      <c r="OX60"/>
      <c r="OY60"/>
      <c r="OZ60"/>
      <c r="PA60"/>
      <c r="PB60"/>
      <c r="PC60"/>
      <c r="PD60"/>
      <c r="PE60"/>
      <c r="PF60"/>
      <c r="PG60"/>
      <c r="PH60"/>
      <c r="PI60"/>
      <c r="PJ60"/>
      <c r="PK60"/>
      <c r="PL60"/>
      <c r="PM60"/>
      <c r="PN60"/>
      <c r="PO60"/>
      <c r="PP60"/>
      <c r="PQ60"/>
      <c r="PR60"/>
      <c r="PS60"/>
      <c r="PT60"/>
      <c r="PU60"/>
      <c r="PV60"/>
      <c r="PW60"/>
      <c r="PX60"/>
      <c r="PY60"/>
      <c r="PZ60"/>
      <c r="QA60"/>
      <c r="QB60"/>
      <c r="QC60"/>
      <c r="QD60"/>
      <c r="QE60"/>
      <c r="QF60"/>
      <c r="QG60"/>
      <c r="QH60"/>
      <c r="QI60"/>
      <c r="QJ60"/>
      <c r="QK60"/>
      <c r="QL60"/>
      <c r="QM60"/>
      <c r="QN60"/>
      <c r="QO60"/>
      <c r="QP60"/>
      <c r="QQ60"/>
      <c r="QR60"/>
      <c r="QS60"/>
      <c r="QT60"/>
      <c r="QU60"/>
      <c r="QV60"/>
      <c r="QW60"/>
      <c r="QX60"/>
      <c r="QY60"/>
      <c r="QZ60"/>
      <c r="RA60"/>
      <c r="RB60"/>
      <c r="RC60"/>
      <c r="RD60"/>
      <c r="RE60"/>
      <c r="RF60"/>
      <c r="RG60"/>
      <c r="RH60"/>
      <c r="RI60"/>
      <c r="RJ60"/>
      <c r="RK60"/>
      <c r="RL60"/>
      <c r="RM60"/>
      <c r="RN60"/>
      <c r="RO60"/>
      <c r="RP60"/>
      <c r="RQ60"/>
      <c r="RR60"/>
      <c r="RS60"/>
      <c r="RT60"/>
      <c r="RU60"/>
      <c r="RV60"/>
      <c r="RW60"/>
      <c r="RX60"/>
      <c r="RY60"/>
      <c r="RZ60"/>
      <c r="SA60"/>
      <c r="SB60"/>
      <c r="SC60"/>
      <c r="SD60"/>
      <c r="SE60"/>
      <c r="SF60"/>
      <c r="SG60"/>
      <c r="SH60"/>
      <c r="SI60"/>
      <c r="SJ60"/>
      <c r="SK60"/>
      <c r="SL60"/>
      <c r="SM60"/>
      <c r="SN60"/>
      <c r="SO60"/>
      <c r="SP60"/>
      <c r="SQ60"/>
      <c r="SR60"/>
      <c r="SS60"/>
      <c r="ST60"/>
      <c r="SU60"/>
      <c r="SV60"/>
      <c r="SW60"/>
      <c r="SX60"/>
      <c r="SY60"/>
      <c r="SZ60" s="456" t="str">
        <f t="shared" ref="SZ60:VB60" si="13">IF(MONTH(SZ43)&gt;6,"2","1")</f>
        <v>1</v>
      </c>
      <c r="TA60" s="456" t="str">
        <f t="shared" si="13"/>
        <v>1</v>
      </c>
      <c r="TB60" s="456" t="str">
        <f t="shared" si="13"/>
        <v>1</v>
      </c>
      <c r="TC60" s="456" t="str">
        <f t="shared" si="13"/>
        <v>1</v>
      </c>
      <c r="TD60" s="456" t="str">
        <f t="shared" si="13"/>
        <v>1</v>
      </c>
      <c r="TE60" s="456" t="str">
        <f t="shared" si="13"/>
        <v>1</v>
      </c>
      <c r="TF60" s="456" t="str">
        <f t="shared" si="13"/>
        <v>1</v>
      </c>
      <c r="TG60" s="456" t="str">
        <f t="shared" si="13"/>
        <v>1</v>
      </c>
      <c r="TH60" s="456" t="str">
        <f t="shared" si="13"/>
        <v>1</v>
      </c>
      <c r="TI60" s="456" t="str">
        <f t="shared" si="13"/>
        <v>1</v>
      </c>
      <c r="TJ60" s="456" t="str">
        <f t="shared" si="13"/>
        <v>1</v>
      </c>
      <c r="TK60" s="456" t="str">
        <f t="shared" si="13"/>
        <v>1</v>
      </c>
      <c r="TL60" s="456" t="str">
        <f t="shared" si="13"/>
        <v>1</v>
      </c>
      <c r="TM60" s="456" t="str">
        <f t="shared" si="13"/>
        <v>1</v>
      </c>
      <c r="TN60" s="456" t="str">
        <f t="shared" si="13"/>
        <v>1</v>
      </c>
      <c r="TO60" s="456" t="str">
        <f t="shared" si="13"/>
        <v>1</v>
      </c>
      <c r="TP60" s="456" t="str">
        <f t="shared" si="13"/>
        <v>1</v>
      </c>
      <c r="TQ60" s="456" t="str">
        <f t="shared" si="13"/>
        <v>1</v>
      </c>
      <c r="TR60" s="456" t="str">
        <f t="shared" si="13"/>
        <v>1</v>
      </c>
      <c r="TS60" s="456" t="str">
        <f t="shared" si="13"/>
        <v>1</v>
      </c>
      <c r="TT60" s="456" t="str">
        <f t="shared" si="13"/>
        <v>1</v>
      </c>
      <c r="TU60" s="456" t="str">
        <f t="shared" si="13"/>
        <v>1</v>
      </c>
      <c r="TV60" s="456" t="str">
        <f t="shared" si="13"/>
        <v>1</v>
      </c>
      <c r="TW60" s="456" t="str">
        <f t="shared" si="13"/>
        <v>1</v>
      </c>
      <c r="TX60" s="456" t="str">
        <f t="shared" si="13"/>
        <v>1</v>
      </c>
      <c r="TY60" s="456" t="str">
        <f t="shared" si="13"/>
        <v>1</v>
      </c>
      <c r="TZ60" s="456" t="str">
        <f t="shared" si="13"/>
        <v>1</v>
      </c>
      <c r="UA60" s="456" t="str">
        <f t="shared" si="13"/>
        <v>1</v>
      </c>
      <c r="UB60" s="456" t="str">
        <f t="shared" si="13"/>
        <v>1</v>
      </c>
      <c r="UC60" s="456" t="str">
        <f t="shared" si="13"/>
        <v>1</v>
      </c>
      <c r="UD60" s="456" t="str">
        <f t="shared" si="13"/>
        <v>1</v>
      </c>
      <c r="UE60" s="456" t="str">
        <f t="shared" si="13"/>
        <v>1</v>
      </c>
      <c r="UF60" s="456" t="str">
        <f t="shared" si="13"/>
        <v>1</v>
      </c>
      <c r="UG60" s="456" t="str">
        <f t="shared" si="13"/>
        <v>1</v>
      </c>
      <c r="UH60" s="456" t="str">
        <f t="shared" si="13"/>
        <v>1</v>
      </c>
      <c r="UI60" s="456" t="str">
        <f t="shared" si="13"/>
        <v>1</v>
      </c>
      <c r="UJ60" s="456" t="str">
        <f t="shared" si="13"/>
        <v>1</v>
      </c>
      <c r="UK60" s="456" t="str">
        <f t="shared" si="13"/>
        <v>1</v>
      </c>
      <c r="UL60" s="456" t="str">
        <f t="shared" si="13"/>
        <v>1</v>
      </c>
      <c r="UM60" s="456" t="str">
        <f t="shared" si="13"/>
        <v>1</v>
      </c>
      <c r="UN60" s="456" t="str">
        <f t="shared" si="13"/>
        <v>1</v>
      </c>
      <c r="UO60" s="456" t="str">
        <f t="shared" si="13"/>
        <v>1</v>
      </c>
      <c r="UP60" s="456" t="str">
        <f t="shared" si="13"/>
        <v>1</v>
      </c>
      <c r="UQ60" s="456" t="str">
        <f t="shared" si="13"/>
        <v>1</v>
      </c>
      <c r="UR60" s="456" t="str">
        <f t="shared" si="13"/>
        <v>1</v>
      </c>
      <c r="US60" s="456" t="str">
        <f t="shared" si="13"/>
        <v>1</v>
      </c>
      <c r="UT60" s="456" t="str">
        <f t="shared" si="13"/>
        <v>1</v>
      </c>
      <c r="UU60" s="456" t="str">
        <f t="shared" si="13"/>
        <v>1</v>
      </c>
      <c r="UV60" s="456" t="str">
        <f t="shared" si="13"/>
        <v>1</v>
      </c>
      <c r="UW60" s="456" t="str">
        <f t="shared" si="13"/>
        <v>1</v>
      </c>
      <c r="UX60" s="456" t="str">
        <f t="shared" si="13"/>
        <v>1</v>
      </c>
      <c r="UY60" s="456" t="str">
        <f t="shared" si="13"/>
        <v>1</v>
      </c>
      <c r="UZ60" s="456" t="str">
        <f t="shared" si="13"/>
        <v>1</v>
      </c>
      <c r="VA60" s="456" t="str">
        <f t="shared" si="13"/>
        <v>1</v>
      </c>
      <c r="VB60" s="456" t="str">
        <f t="shared" si="13"/>
        <v>1</v>
      </c>
      <c r="VC60" s="456" t="str">
        <f t="shared" ref="VC60:XN60" si="14">IF(MONTH(VC43)&gt;6,"2","1")</f>
        <v>1</v>
      </c>
      <c r="VD60" s="456" t="str">
        <f t="shared" si="14"/>
        <v>1</v>
      </c>
      <c r="VE60" s="456" t="str">
        <f t="shared" si="14"/>
        <v>1</v>
      </c>
      <c r="VF60" s="456" t="str">
        <f t="shared" si="14"/>
        <v>1</v>
      </c>
      <c r="VG60" s="456" t="str">
        <f t="shared" si="14"/>
        <v>1</v>
      </c>
      <c r="VH60" s="456" t="str">
        <f t="shared" si="14"/>
        <v>1</v>
      </c>
      <c r="VI60" s="456" t="str">
        <f t="shared" si="14"/>
        <v>1</v>
      </c>
      <c r="VJ60" s="456" t="str">
        <f t="shared" si="14"/>
        <v>1</v>
      </c>
      <c r="VK60" s="456" t="str">
        <f t="shared" si="14"/>
        <v>1</v>
      </c>
      <c r="VL60" s="456" t="str">
        <f t="shared" si="14"/>
        <v>1</v>
      </c>
      <c r="VM60" s="456" t="str">
        <f t="shared" si="14"/>
        <v>1</v>
      </c>
      <c r="VN60" s="456" t="str">
        <f t="shared" si="14"/>
        <v>1</v>
      </c>
      <c r="VO60" s="456" t="str">
        <f t="shared" si="14"/>
        <v>1</v>
      </c>
      <c r="VP60" s="456" t="str">
        <f t="shared" si="14"/>
        <v>1</v>
      </c>
      <c r="VQ60" s="456" t="str">
        <f t="shared" si="14"/>
        <v>1</v>
      </c>
      <c r="VR60" s="456" t="str">
        <f t="shared" si="14"/>
        <v>1</v>
      </c>
      <c r="VS60" s="456" t="str">
        <f t="shared" si="14"/>
        <v>1</v>
      </c>
      <c r="VT60" s="456" t="str">
        <f t="shared" si="14"/>
        <v>1</v>
      </c>
      <c r="VU60" s="456" t="str">
        <f t="shared" si="14"/>
        <v>1</v>
      </c>
      <c r="VV60" s="456" t="str">
        <f t="shared" si="14"/>
        <v>1</v>
      </c>
      <c r="VW60" s="456" t="str">
        <f t="shared" si="14"/>
        <v>1</v>
      </c>
      <c r="VX60" s="456" t="str">
        <f t="shared" si="14"/>
        <v>1</v>
      </c>
      <c r="VY60" s="456" t="str">
        <f t="shared" si="14"/>
        <v>1</v>
      </c>
      <c r="VZ60" s="456" t="str">
        <f t="shared" si="14"/>
        <v>1</v>
      </c>
      <c r="WA60" s="456" t="str">
        <f t="shared" si="14"/>
        <v>1</v>
      </c>
      <c r="WB60" s="456" t="str">
        <f t="shared" si="14"/>
        <v>1</v>
      </c>
      <c r="WC60" s="456" t="str">
        <f t="shared" si="14"/>
        <v>1</v>
      </c>
      <c r="WD60" s="456" t="str">
        <f t="shared" si="14"/>
        <v>1</v>
      </c>
      <c r="WE60" s="456" t="str">
        <f t="shared" si="14"/>
        <v>1</v>
      </c>
      <c r="WF60" s="456" t="str">
        <f t="shared" si="14"/>
        <v>1</v>
      </c>
      <c r="WG60" s="456" t="str">
        <f t="shared" si="14"/>
        <v>1</v>
      </c>
      <c r="WH60" s="456" t="str">
        <f t="shared" si="14"/>
        <v>1</v>
      </c>
      <c r="WI60" s="456" t="str">
        <f t="shared" si="14"/>
        <v>1</v>
      </c>
      <c r="WJ60" s="456" t="str">
        <f t="shared" si="14"/>
        <v>1</v>
      </c>
      <c r="WK60" s="456" t="str">
        <f t="shared" si="14"/>
        <v>1</v>
      </c>
      <c r="WL60" s="456" t="str">
        <f t="shared" si="14"/>
        <v>1</v>
      </c>
      <c r="WM60" s="456" t="str">
        <f t="shared" si="14"/>
        <v>1</v>
      </c>
      <c r="WN60" s="456" t="str">
        <f t="shared" si="14"/>
        <v>1</v>
      </c>
      <c r="WO60" s="456" t="str">
        <f t="shared" si="14"/>
        <v>1</v>
      </c>
      <c r="WP60" s="456" t="str">
        <f t="shared" si="14"/>
        <v>1</v>
      </c>
      <c r="WQ60" s="456" t="str">
        <f t="shared" si="14"/>
        <v>1</v>
      </c>
      <c r="WR60" s="456" t="str">
        <f t="shared" si="14"/>
        <v>1</v>
      </c>
      <c r="WS60" s="456" t="str">
        <f t="shared" si="14"/>
        <v>1</v>
      </c>
      <c r="WT60" s="456" t="str">
        <f t="shared" si="14"/>
        <v>1</v>
      </c>
      <c r="WU60" s="456" t="str">
        <f t="shared" si="14"/>
        <v>1</v>
      </c>
      <c r="WV60" s="456" t="str">
        <f t="shared" si="14"/>
        <v>1</v>
      </c>
      <c r="WW60" s="456" t="str">
        <f t="shared" si="14"/>
        <v>1</v>
      </c>
      <c r="WX60" s="456" t="str">
        <f t="shared" si="14"/>
        <v>1</v>
      </c>
      <c r="WY60" s="456" t="str">
        <f t="shared" si="14"/>
        <v>1</v>
      </c>
      <c r="WZ60" s="456" t="str">
        <f t="shared" si="14"/>
        <v>1</v>
      </c>
      <c r="XA60" s="456" t="str">
        <f t="shared" si="14"/>
        <v>1</v>
      </c>
      <c r="XB60" s="456" t="str">
        <f t="shared" si="14"/>
        <v>1</v>
      </c>
      <c r="XC60" s="456" t="str">
        <f t="shared" si="14"/>
        <v>1</v>
      </c>
      <c r="XD60" s="456" t="str">
        <f t="shared" si="14"/>
        <v>1</v>
      </c>
      <c r="XE60" s="456" t="str">
        <f t="shared" si="14"/>
        <v>1</v>
      </c>
      <c r="XF60" s="456" t="str">
        <f t="shared" si="14"/>
        <v>1</v>
      </c>
      <c r="XG60" s="456" t="str">
        <f t="shared" si="14"/>
        <v>1</v>
      </c>
      <c r="XH60" s="456" t="str">
        <f t="shared" si="14"/>
        <v>1</v>
      </c>
      <c r="XI60" s="456" t="str">
        <f t="shared" si="14"/>
        <v>1</v>
      </c>
      <c r="XJ60" s="456" t="str">
        <f t="shared" si="14"/>
        <v>1</v>
      </c>
      <c r="XK60" s="456" t="str">
        <f t="shared" si="14"/>
        <v>1</v>
      </c>
      <c r="XL60" s="456" t="str">
        <f t="shared" si="14"/>
        <v>1</v>
      </c>
      <c r="XM60" s="456" t="str">
        <f t="shared" si="14"/>
        <v>1</v>
      </c>
      <c r="XN60" s="456" t="str">
        <f t="shared" si="14"/>
        <v>1</v>
      </c>
      <c r="XO60" s="456" t="str">
        <f t="shared" ref="XO60:YS60" si="15">IF(MONTH(XO43)&gt;6,"2","1")</f>
        <v>1</v>
      </c>
      <c r="XP60" s="456" t="str">
        <f t="shared" si="15"/>
        <v>1</v>
      </c>
      <c r="XQ60" s="456" t="str">
        <f t="shared" si="15"/>
        <v>1</v>
      </c>
      <c r="XR60" s="456" t="str">
        <f t="shared" si="15"/>
        <v>1</v>
      </c>
      <c r="XS60" s="456" t="str">
        <f t="shared" si="15"/>
        <v>1</v>
      </c>
      <c r="XT60" s="456" t="str">
        <f t="shared" si="15"/>
        <v>1</v>
      </c>
      <c r="XU60" s="456" t="str">
        <f t="shared" si="15"/>
        <v>1</v>
      </c>
      <c r="XV60" s="456" t="str">
        <f t="shared" si="15"/>
        <v>1</v>
      </c>
      <c r="XW60" s="456" t="str">
        <f t="shared" si="15"/>
        <v>1</v>
      </c>
      <c r="XX60" s="456" t="str">
        <f t="shared" si="15"/>
        <v>1</v>
      </c>
      <c r="XY60" s="456" t="str">
        <f t="shared" si="15"/>
        <v>1</v>
      </c>
      <c r="XZ60" s="456" t="str">
        <f t="shared" si="15"/>
        <v>1</v>
      </c>
      <c r="YA60" s="456" t="str">
        <f t="shared" si="15"/>
        <v>1</v>
      </c>
      <c r="YB60" s="456" t="str">
        <f t="shared" si="15"/>
        <v>1</v>
      </c>
      <c r="YC60" s="456" t="str">
        <f t="shared" si="15"/>
        <v>1</v>
      </c>
      <c r="YD60" s="456" t="str">
        <f t="shared" si="15"/>
        <v>1</v>
      </c>
      <c r="YE60" s="456" t="str">
        <f t="shared" si="15"/>
        <v>1</v>
      </c>
      <c r="YF60" s="456" t="str">
        <f t="shared" si="15"/>
        <v>1</v>
      </c>
      <c r="YG60" s="456" t="str">
        <f t="shared" si="15"/>
        <v>1</v>
      </c>
      <c r="YH60" s="456" t="str">
        <f t="shared" si="15"/>
        <v>1</v>
      </c>
      <c r="YI60" s="456" t="str">
        <f t="shared" si="15"/>
        <v>1</v>
      </c>
      <c r="YJ60" s="456" t="str">
        <f t="shared" si="15"/>
        <v>1</v>
      </c>
      <c r="YK60" s="456" t="str">
        <f t="shared" si="15"/>
        <v>1</v>
      </c>
      <c r="YL60" s="456" t="str">
        <f t="shared" si="15"/>
        <v>1</v>
      </c>
      <c r="YM60" s="456" t="str">
        <f t="shared" si="15"/>
        <v>1</v>
      </c>
      <c r="YN60" s="456" t="str">
        <f t="shared" si="15"/>
        <v>1</v>
      </c>
      <c r="YO60" s="456" t="str">
        <f t="shared" si="15"/>
        <v>1</v>
      </c>
      <c r="YP60" s="456" t="str">
        <f t="shared" si="15"/>
        <v>1</v>
      </c>
      <c r="YQ60" s="456" t="str">
        <f t="shared" si="15"/>
        <v>1</v>
      </c>
      <c r="YR60" s="456" t="str">
        <f t="shared" si="15"/>
        <v>1</v>
      </c>
      <c r="YS60" s="456" t="str">
        <f t="shared" si="15"/>
        <v>1</v>
      </c>
    </row>
    <row r="61" spans="1:669" ht="15" hidden="1" customHeight="1" thickBot="1" x14ac:dyDescent="0.35">
      <c r="A61" s="457" t="s">
        <v>82</v>
      </c>
      <c r="B61" s="458" t="s">
        <v>196</v>
      </c>
      <c r="C61" s="458" t="s">
        <v>197</v>
      </c>
      <c r="D61" s="458" t="s">
        <v>198</v>
      </c>
      <c r="E61" s="458" t="s">
        <v>199</v>
      </c>
      <c r="F61" s="458" t="s">
        <v>200</v>
      </c>
      <c r="G61" s="458" t="s">
        <v>201</v>
      </c>
      <c r="H61" s="458" t="s">
        <v>202</v>
      </c>
      <c r="I61" s="458" t="s">
        <v>203</v>
      </c>
      <c r="J61" s="458" t="s">
        <v>204</v>
      </c>
      <c r="K61" s="458" t="s">
        <v>205</v>
      </c>
      <c r="L61" s="458" t="s">
        <v>206</v>
      </c>
      <c r="M61" s="458" t="s">
        <v>207</v>
      </c>
      <c r="N61" s="458" t="s">
        <v>208</v>
      </c>
      <c r="O61" s="458" t="s">
        <v>209</v>
      </c>
      <c r="P61" s="458" t="s">
        <v>210</v>
      </c>
      <c r="Q61" s="458" t="s">
        <v>211</v>
      </c>
      <c r="R61" s="458" t="s">
        <v>212</v>
      </c>
      <c r="S61" s="458" t="s">
        <v>213</v>
      </c>
      <c r="T61" s="458" t="s">
        <v>214</v>
      </c>
      <c r="U61" s="458" t="s">
        <v>215</v>
      </c>
      <c r="V61" s="458" t="s">
        <v>216</v>
      </c>
      <c r="W61" s="458" t="s">
        <v>217</v>
      </c>
      <c r="X61" s="458" t="s">
        <v>218</v>
      </c>
      <c r="Y61" s="458" t="s">
        <v>219</v>
      </c>
      <c r="Z61" s="458" t="s">
        <v>220</v>
      </c>
      <c r="AA61" s="458" t="s">
        <v>221</v>
      </c>
      <c r="AB61" s="458" t="s">
        <v>222</v>
      </c>
      <c r="AC61" s="458" t="s">
        <v>223</v>
      </c>
      <c r="AD61" s="458" t="s">
        <v>224</v>
      </c>
      <c r="AE61" s="458" t="s">
        <v>225</v>
      </c>
      <c r="AF61" s="458" t="s">
        <v>226</v>
      </c>
      <c r="AG61" s="458" t="s">
        <v>227</v>
      </c>
      <c r="AH61" s="458" t="s">
        <v>228</v>
      </c>
      <c r="AI61" s="458" t="s">
        <v>229</v>
      </c>
      <c r="AJ61" s="458" t="s">
        <v>230</v>
      </c>
      <c r="AK61" s="458" t="s">
        <v>231</v>
      </c>
      <c r="AL61" s="459" t="s">
        <v>232</v>
      </c>
      <c r="AM61" s="459" t="s">
        <v>233</v>
      </c>
      <c r="AN61" s="459" t="s">
        <v>234</v>
      </c>
      <c r="AO61" s="459" t="s">
        <v>235</v>
      </c>
      <c r="AP61" s="459" t="s">
        <v>236</v>
      </c>
      <c r="AQ61" s="459" t="s">
        <v>237</v>
      </c>
      <c r="AR61" s="459" t="s">
        <v>238</v>
      </c>
      <c r="AS61" s="459"/>
      <c r="AT61" s="459"/>
      <c r="AU61" s="459"/>
      <c r="AV61" s="459"/>
      <c r="AW61" s="459"/>
      <c r="AX61" s="459"/>
      <c r="AY61" s="459"/>
      <c r="AZ61" s="459"/>
      <c r="BA61" s="459"/>
      <c r="BB61" s="459"/>
      <c r="BC61" s="460"/>
      <c r="BD61" s="460"/>
      <c r="BE61" s="460"/>
      <c r="BF61" s="460"/>
      <c r="BG61" s="460"/>
      <c r="BH61" s="460"/>
      <c r="BI61" s="460"/>
      <c r="BJ61" s="460"/>
      <c r="BK61" s="460"/>
      <c r="BL61" s="460"/>
      <c r="BM61" s="460"/>
      <c r="BN61" s="460"/>
      <c r="BO61" s="460"/>
      <c r="BP61" s="460"/>
      <c r="BQ61" s="460"/>
      <c r="BR61" s="460"/>
      <c r="BS61" s="460"/>
      <c r="FY61" s="15"/>
      <c r="GE61" s="15"/>
      <c r="GK61" s="15"/>
      <c r="GQ61" s="15"/>
      <c r="GW61" s="15"/>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3"/>
      <c r="IO61" s="2"/>
      <c r="IP61" s="2"/>
      <c r="IQ61" s="2"/>
      <c r="IR61" s="2"/>
      <c r="IS61" s="2"/>
      <c r="IT61" s="2"/>
      <c r="IU61" s="2"/>
      <c r="IV61" s="2"/>
      <c r="IW61" s="2"/>
      <c r="IX61" s="2"/>
      <c r="IY61" s="2"/>
      <c r="IZ61" s="2"/>
      <c r="JA61" s="2"/>
      <c r="JB61" s="2"/>
      <c r="JC61" s="2"/>
      <c r="JD61" s="2"/>
      <c r="JE61" s="2"/>
    </row>
    <row r="62" spans="1:669" s="107" customFormat="1" ht="14.4" hidden="1" customHeight="1" x14ac:dyDescent="0.3">
      <c r="A62" s="461" t="s">
        <v>239</v>
      </c>
      <c r="B62" s="395">
        <f t="shared" ref="B62:AG62" si="16">AVERAGEIFS($B47:$YS47,$B$60:$YS$60,RIGHT(LEFT(B$61,2),1),$B$59:$YS$59,RIGHT(B$61,4))</f>
        <v>1336.914</v>
      </c>
      <c r="C62" s="395">
        <f t="shared" si="16"/>
        <v>1319.9279999999999</v>
      </c>
      <c r="D62" s="395">
        <f t="shared" si="16"/>
        <v>1252.511</v>
      </c>
      <c r="E62" s="395">
        <f t="shared" si="16"/>
        <v>1375.2030000000002</v>
      </c>
      <c r="F62" s="395">
        <f t="shared" si="16"/>
        <v>1479.4639999999999</v>
      </c>
      <c r="G62" s="395">
        <f t="shared" si="16"/>
        <v>1272.9490000000001</v>
      </c>
      <c r="H62" s="395">
        <f t="shared" si="16"/>
        <v>991.72200000000009</v>
      </c>
      <c r="I62" s="395">
        <f t="shared" si="16"/>
        <v>1329.2830000000001</v>
      </c>
      <c r="J62" s="395">
        <f t="shared" si="16"/>
        <v>1421.3</v>
      </c>
      <c r="K62" s="395">
        <f t="shared" si="16"/>
        <v>1838.5019999999997</v>
      </c>
      <c r="L62" s="395">
        <f t="shared" si="16"/>
        <v>1965.7020000000002</v>
      </c>
      <c r="M62" s="395">
        <f t="shared" si="16"/>
        <v>2221.5139999999997</v>
      </c>
      <c r="N62" s="395">
        <f t="shared" si="16"/>
        <v>2468.5570000000002</v>
      </c>
      <c r="O62" s="395">
        <f t="shared" si="16"/>
        <v>2459.2470000000003</v>
      </c>
      <c r="P62" s="395">
        <f t="shared" si="16"/>
        <v>2563.1889999999999</v>
      </c>
      <c r="Q62" s="395">
        <f t="shared" si="16"/>
        <v>2348.0800000000004</v>
      </c>
      <c r="R62" s="395">
        <f t="shared" si="16"/>
        <v>1456.896</v>
      </c>
      <c r="S62" s="395">
        <f t="shared" si="16"/>
        <v>1495.2340000000002</v>
      </c>
      <c r="T62" s="395">
        <f t="shared" si="16"/>
        <v>1835.6760000000002</v>
      </c>
      <c r="U62" s="395">
        <f t="shared" si="16"/>
        <v>1963.7529999999999</v>
      </c>
      <c r="V62" s="395">
        <f t="shared" si="16"/>
        <v>2119.0149999999999</v>
      </c>
      <c r="W62" s="395">
        <f t="shared" si="16"/>
        <v>2483.7000000000003</v>
      </c>
      <c r="X62" s="395">
        <f t="shared" si="16"/>
        <v>2756.2819999999997</v>
      </c>
      <c r="Y62" s="395">
        <f t="shared" si="16"/>
        <v>2706.2559999999999</v>
      </c>
      <c r="Z62" s="395">
        <f t="shared" si="16"/>
        <v>2455.8049999999998</v>
      </c>
      <c r="AA62" s="395">
        <f t="shared" si="16"/>
        <v>2478.373</v>
      </c>
      <c r="AB62" s="395">
        <f t="shared" si="16"/>
        <v>2255.1170000000002</v>
      </c>
      <c r="AC62" s="395">
        <f t="shared" si="16"/>
        <v>2324.7739999999999</v>
      </c>
      <c r="AD62" s="395">
        <f t="shared" si="16"/>
        <v>2143.8200000000002</v>
      </c>
      <c r="AE62" s="395">
        <f t="shared" si="16"/>
        <v>2043.702</v>
      </c>
      <c r="AF62" s="395">
        <f t="shared" si="16"/>
        <v>1875.8040000000001</v>
      </c>
      <c r="AG62" s="395">
        <f t="shared" si="16"/>
        <v>1858.566</v>
      </c>
      <c r="AH62" s="395">
        <f t="shared" ref="AH62:BB62" si="17">AVERAGEIFS($B47:$YS47,$B$60:$YS$60,RIGHT(LEFT(AH$61,2),1),$B$59:$YS$59,RIGHT(AH$61,4))</f>
        <v>1920.8509999999999</v>
      </c>
      <c r="AI62" s="395">
        <f t="shared" si="17"/>
        <v>2159.0619999999999</v>
      </c>
      <c r="AJ62" s="395">
        <f t="shared" si="17"/>
        <v>2135.6079999999997</v>
      </c>
      <c r="AK62" s="395">
        <f t="shared" si="17"/>
        <v>2198.8920000000003</v>
      </c>
      <c r="AL62" s="395">
        <f t="shared" si="17"/>
        <v>2312.779</v>
      </c>
      <c r="AM62" s="395">
        <f t="shared" si="17"/>
        <v>2256.605</v>
      </c>
      <c r="AN62" s="395">
        <f t="shared" si="17"/>
        <v>1893.7210000000002</v>
      </c>
      <c r="AO62" s="395">
        <f t="shared" si="17"/>
        <v>1900.2279999999998</v>
      </c>
      <c r="AP62" s="395">
        <f t="shared" si="17"/>
        <v>1887.2190000000001</v>
      </c>
      <c r="AQ62" s="395">
        <f t="shared" si="17"/>
        <v>2080.8109999999997</v>
      </c>
      <c r="AR62" s="395">
        <f t="shared" si="17"/>
        <v>2016.0749999999998</v>
      </c>
      <c r="AS62" s="395">
        <f t="shared" si="17"/>
        <v>1535.68</v>
      </c>
      <c r="AT62" s="395">
        <f t="shared" si="17"/>
        <v>1535.68</v>
      </c>
      <c r="AU62" s="395">
        <f t="shared" si="17"/>
        <v>1535.68</v>
      </c>
      <c r="AV62" s="395">
        <f t="shared" si="17"/>
        <v>1535.68</v>
      </c>
      <c r="AW62" s="395">
        <f t="shared" si="17"/>
        <v>1535.68</v>
      </c>
      <c r="AX62" s="395">
        <f t="shared" si="17"/>
        <v>1535.68</v>
      </c>
      <c r="AY62" s="395">
        <f t="shared" si="17"/>
        <v>1535.68</v>
      </c>
      <c r="AZ62" s="395">
        <f t="shared" si="17"/>
        <v>1535.68</v>
      </c>
      <c r="BA62" s="395">
        <f t="shared" si="17"/>
        <v>1535.68</v>
      </c>
      <c r="BB62" s="396">
        <f t="shared" si="17"/>
        <v>1535.68</v>
      </c>
      <c r="BC62" s="418"/>
      <c r="BD62" s="418"/>
      <c r="BE62" s="418"/>
      <c r="BF62" s="418"/>
      <c r="BG62" s="418"/>
      <c r="BH62" s="418"/>
      <c r="BI62" s="418"/>
      <c r="BJ62" s="418"/>
      <c r="BK62" s="418"/>
      <c r="BL62" s="418"/>
      <c r="BM62" s="418"/>
      <c r="BN62" s="418"/>
      <c r="BO62" s="418"/>
      <c r="BP62" s="418"/>
      <c r="BQ62" s="418"/>
      <c r="BR62" s="418"/>
      <c r="BS62" s="418"/>
      <c r="FY62" s="395"/>
      <c r="GE62" s="395"/>
      <c r="GK62" s="395"/>
      <c r="GQ62" s="395"/>
      <c r="GW62" s="395"/>
      <c r="IN62" s="3"/>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c r="MA62"/>
      <c r="MB62"/>
      <c r="MC62"/>
      <c r="MD62"/>
      <c r="ME62"/>
      <c r="MF62"/>
      <c r="MG62"/>
      <c r="MH62"/>
      <c r="MI62"/>
      <c r="MJ62"/>
      <c r="MK62"/>
      <c r="ML62"/>
      <c r="MM62"/>
      <c r="MN62"/>
      <c r="MO62"/>
      <c r="MP62"/>
      <c r="MQ62"/>
      <c r="MR62"/>
      <c r="MS62"/>
      <c r="MT62"/>
      <c r="MU62"/>
      <c r="MV62"/>
      <c r="MW62"/>
      <c r="MX62"/>
      <c r="MY62"/>
      <c r="MZ62"/>
      <c r="NA62"/>
      <c r="NB62"/>
      <c r="NC62"/>
      <c r="ND62"/>
      <c r="NE62"/>
      <c r="NF62"/>
      <c r="NG62"/>
      <c r="NH62"/>
      <c r="NI62"/>
      <c r="NJ62"/>
      <c r="NK62"/>
      <c r="NL62"/>
      <c r="NM62"/>
      <c r="NN62"/>
      <c r="NO62"/>
      <c r="NP62"/>
      <c r="NQ62"/>
      <c r="NR62"/>
      <c r="NS62"/>
      <c r="NT62"/>
      <c r="NU62"/>
      <c r="NV62"/>
      <c r="NW62"/>
      <c r="NX62"/>
      <c r="NY62"/>
      <c r="NZ62"/>
      <c r="OA62"/>
      <c r="OB62"/>
      <c r="OC62"/>
      <c r="OD62"/>
      <c r="OE62"/>
      <c r="OF62"/>
      <c r="OG62"/>
      <c r="OH62"/>
      <c r="OI62"/>
      <c r="OJ62"/>
      <c r="OK62"/>
      <c r="OL62"/>
      <c r="OM62"/>
      <c r="ON62"/>
      <c r="OO62"/>
      <c r="OP62"/>
      <c r="OQ62"/>
      <c r="OR62"/>
      <c r="OS62"/>
      <c r="OT62"/>
      <c r="OU62"/>
      <c r="OV62"/>
      <c r="OW62"/>
      <c r="OX62"/>
      <c r="OY62"/>
      <c r="OZ62"/>
      <c r="PA62"/>
      <c r="PB62"/>
      <c r="PC62"/>
      <c r="PD62"/>
      <c r="PE62"/>
      <c r="PF62"/>
      <c r="PG62"/>
      <c r="PH62"/>
      <c r="PI62"/>
      <c r="PJ62"/>
      <c r="PK62"/>
      <c r="PL62"/>
      <c r="PM62"/>
      <c r="PN62"/>
      <c r="PO62"/>
      <c r="PP62"/>
      <c r="PQ62"/>
      <c r="PR62"/>
      <c r="PS62"/>
      <c r="PT62"/>
      <c r="PU62"/>
      <c r="PV62"/>
      <c r="PW62"/>
      <c r="PX62"/>
      <c r="PY62"/>
      <c r="PZ62"/>
      <c r="QA62"/>
      <c r="QB62"/>
      <c r="QC62"/>
      <c r="QD62"/>
      <c r="QE62"/>
      <c r="QF62"/>
      <c r="QG62"/>
      <c r="QH62"/>
      <c r="QI62"/>
      <c r="QJ62"/>
      <c r="QK62"/>
      <c r="QL62"/>
      <c r="QM62"/>
      <c r="QN62"/>
      <c r="QO62"/>
      <c r="QP62"/>
      <c r="QQ62"/>
      <c r="QR62"/>
      <c r="QS62"/>
      <c r="QT62"/>
      <c r="QU62"/>
      <c r="QV62"/>
      <c r="QW62"/>
      <c r="QX62"/>
      <c r="QY62"/>
      <c r="QZ62"/>
      <c r="RA62"/>
      <c r="RB62"/>
      <c r="RC62"/>
      <c r="RD62"/>
      <c r="RE62"/>
      <c r="RF62"/>
      <c r="RG62"/>
      <c r="RH62"/>
      <c r="RI62"/>
      <c r="RJ62"/>
      <c r="RK62"/>
      <c r="RL62"/>
      <c r="RM62"/>
      <c r="RN62"/>
      <c r="RO62"/>
      <c r="RP62"/>
      <c r="RQ62"/>
      <c r="RR62"/>
      <c r="RS62"/>
      <c r="RT62"/>
      <c r="RU62"/>
      <c r="RV62"/>
      <c r="RW62"/>
      <c r="RX62"/>
      <c r="RY62"/>
      <c r="RZ62"/>
      <c r="SA62"/>
      <c r="SB62"/>
      <c r="SC62"/>
      <c r="SD62"/>
      <c r="SE62"/>
      <c r="SF62"/>
      <c r="SG62"/>
      <c r="SH62"/>
      <c r="SI62"/>
      <c r="SJ62"/>
      <c r="SK62"/>
      <c r="SL62"/>
      <c r="SM62"/>
      <c r="SN62"/>
      <c r="SO62"/>
      <c r="SP62"/>
      <c r="SQ62"/>
      <c r="SR62"/>
      <c r="SS62"/>
      <c r="ST62"/>
      <c r="SU62"/>
      <c r="SV62"/>
      <c r="SW62"/>
      <c r="SX62"/>
      <c r="SY62"/>
    </row>
    <row r="63" spans="1:669" ht="14.4" hidden="1" customHeight="1" x14ac:dyDescent="0.3">
      <c r="A63" s="462" t="s">
        <v>240</v>
      </c>
      <c r="B63" s="392">
        <f t="shared" ref="B63:AG63" si="18">AVERAGEIFS($B44:$YS44,$B$60:$YS$60,RIGHT(LEFT(B$61,2),1),$B$59:$YS$59,RIGHT(B$61,4))</f>
        <v>5830.7710000000006</v>
      </c>
      <c r="C63" s="392">
        <f t="shared" si="18"/>
        <v>6172.4449999999997</v>
      </c>
      <c r="D63" s="392">
        <f t="shared" si="18"/>
        <v>6191.68</v>
      </c>
      <c r="E63" s="392">
        <f t="shared" si="18"/>
        <v>6327.0129999999999</v>
      </c>
      <c r="F63" s="392">
        <f t="shared" si="18"/>
        <v>6271.5279999999993</v>
      </c>
      <c r="G63" s="392">
        <f t="shared" si="18"/>
        <v>6382.0720000000001</v>
      </c>
      <c r="H63" s="392">
        <f t="shared" si="18"/>
        <v>6485.7649999999994</v>
      </c>
      <c r="I63" s="392">
        <f t="shared" si="18"/>
        <v>7323.9350000000004</v>
      </c>
      <c r="J63" s="392">
        <f t="shared" si="18"/>
        <v>8305.3919999999998</v>
      </c>
      <c r="K63" s="392">
        <f t="shared" si="18"/>
        <v>9165.3720000000012</v>
      </c>
      <c r="L63" s="392">
        <f t="shared" si="18"/>
        <v>9212.4490000000005</v>
      </c>
      <c r="M63" s="392">
        <f t="shared" si="18"/>
        <v>8168.5260000000007</v>
      </c>
      <c r="N63" s="392">
        <f t="shared" si="18"/>
        <v>7976.3139999999994</v>
      </c>
      <c r="O63" s="392">
        <f t="shared" si="18"/>
        <v>8049.8450000000003</v>
      </c>
      <c r="P63" s="392">
        <f t="shared" si="18"/>
        <v>7779.4880000000003</v>
      </c>
      <c r="Q63" s="392">
        <f t="shared" si="18"/>
        <v>7954.4730000000009</v>
      </c>
      <c r="R63" s="392">
        <f t="shared" si="18"/>
        <v>7951.6469999999999</v>
      </c>
      <c r="S63" s="392">
        <f t="shared" si="18"/>
        <v>8332.8700000000008</v>
      </c>
      <c r="T63" s="392">
        <f t="shared" si="18"/>
        <v>9079.3430000000026</v>
      </c>
      <c r="U63" s="392">
        <f t="shared" si="18"/>
        <v>10429.769</v>
      </c>
      <c r="V63" s="392">
        <f t="shared" si="18"/>
        <v>11758.436</v>
      </c>
      <c r="W63" s="392">
        <f t="shared" si="18"/>
        <v>11562.442000000001</v>
      </c>
      <c r="X63" s="392">
        <f t="shared" si="18"/>
        <v>9179.7199999999993</v>
      </c>
      <c r="Y63" s="392">
        <f t="shared" si="18"/>
        <v>7246.4949999999999</v>
      </c>
      <c r="Z63" s="392">
        <f t="shared" si="18"/>
        <v>7253.3309999999992</v>
      </c>
      <c r="AA63" s="392">
        <f t="shared" si="18"/>
        <v>7170.0080000000007</v>
      </c>
      <c r="AB63" s="392">
        <f t="shared" si="18"/>
        <v>7216.9970000000003</v>
      </c>
      <c r="AC63" s="392">
        <f t="shared" si="18"/>
        <v>6998.3329999999996</v>
      </c>
      <c r="AD63" s="392">
        <f t="shared" si="18"/>
        <v>7034.6980000000003</v>
      </c>
      <c r="AE63" s="392">
        <f t="shared" si="18"/>
        <v>7041.0859999999993</v>
      </c>
      <c r="AF63" s="392">
        <f t="shared" si="18"/>
        <v>6197.0380000000005</v>
      </c>
      <c r="AG63" s="392">
        <f t="shared" si="18"/>
        <v>6107.9320000000007</v>
      </c>
      <c r="AH63" s="392">
        <f t="shared" ref="AH63:BB63" si="19">AVERAGEIFS($B44:$YS44,$B$60:$YS$60,RIGHT(LEFT(AH$61,2),1),$B$59:$YS$59,RIGHT(AH$61,4))</f>
        <v>6182.1870000000008</v>
      </c>
      <c r="AI63" s="392">
        <f t="shared" si="19"/>
        <v>6355.0770000000002</v>
      </c>
      <c r="AJ63" s="392">
        <f t="shared" si="19"/>
        <v>6608.6709999999994</v>
      </c>
      <c r="AK63" s="392">
        <f t="shared" si="19"/>
        <v>6639.6879999999992</v>
      </c>
      <c r="AL63" s="392">
        <f t="shared" si="19"/>
        <v>7207.8529999999992</v>
      </c>
      <c r="AM63" s="392">
        <f t="shared" si="19"/>
        <v>6906.3630000000003</v>
      </c>
      <c r="AN63" s="392">
        <f t="shared" si="19"/>
        <v>6622.9009999999989</v>
      </c>
      <c r="AO63" s="392">
        <f t="shared" si="19"/>
        <v>6870.02</v>
      </c>
      <c r="AP63" s="392">
        <f t="shared" si="19"/>
        <v>6809.5379999999996</v>
      </c>
      <c r="AQ63" s="392">
        <f t="shared" si="19"/>
        <v>6892.0760000000009</v>
      </c>
      <c r="AR63" s="392">
        <f t="shared" si="19"/>
        <v>6554.5350000000008</v>
      </c>
      <c r="AS63" s="392">
        <f t="shared" si="19"/>
        <v>6806.2079999999996</v>
      </c>
      <c r="AT63" s="392">
        <f t="shared" si="19"/>
        <v>6806.2079999999996</v>
      </c>
      <c r="AU63" s="392">
        <f t="shared" si="19"/>
        <v>6806.2079999999996</v>
      </c>
      <c r="AV63" s="392">
        <f t="shared" si="19"/>
        <v>6806.2079999999996</v>
      </c>
      <c r="AW63" s="392">
        <f t="shared" si="19"/>
        <v>6806.2079999999996</v>
      </c>
      <c r="AX63" s="392">
        <f t="shared" si="19"/>
        <v>6806.2079999999996</v>
      </c>
      <c r="AY63" s="392">
        <f t="shared" si="19"/>
        <v>6806.2079999999996</v>
      </c>
      <c r="AZ63" s="392">
        <f t="shared" si="19"/>
        <v>6806.2079999999996</v>
      </c>
      <c r="BA63" s="392">
        <f t="shared" si="19"/>
        <v>6806.2079999999996</v>
      </c>
      <c r="BB63" s="393">
        <f t="shared" si="19"/>
        <v>6806.2079999999996</v>
      </c>
      <c r="BC63" s="418"/>
      <c r="BD63" s="418"/>
      <c r="BE63" s="418"/>
      <c r="BF63" s="418"/>
      <c r="BG63" s="418"/>
      <c r="BH63" s="418"/>
      <c r="BI63" s="418"/>
      <c r="BJ63" s="418"/>
      <c r="BK63" s="418"/>
      <c r="BL63" s="418"/>
      <c r="BM63" s="418"/>
      <c r="BN63" s="418"/>
      <c r="BO63" s="418"/>
      <c r="BP63" s="418"/>
      <c r="BQ63" s="418"/>
      <c r="BR63" s="418"/>
      <c r="BS63" s="418"/>
      <c r="FY63" s="15"/>
      <c r="GE63" s="15"/>
      <c r="GK63" s="15"/>
      <c r="GQ63" s="15"/>
      <c r="GW63" s="15"/>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3"/>
      <c r="IO63" s="2"/>
      <c r="IP63" s="2"/>
      <c r="IQ63" s="2"/>
      <c r="IR63" s="2"/>
      <c r="IS63" s="2"/>
      <c r="IT63" s="2"/>
      <c r="IU63" s="2"/>
      <c r="IV63" s="2"/>
      <c r="IW63" s="2"/>
      <c r="IX63" s="2"/>
      <c r="IY63" s="2"/>
      <c r="IZ63" s="2"/>
      <c r="JA63" s="2"/>
      <c r="JB63" s="2"/>
      <c r="JC63" s="2"/>
      <c r="JD63" s="2"/>
      <c r="JE63" s="2"/>
    </row>
    <row r="64" spans="1:669" ht="14.4" hidden="1" customHeight="1" x14ac:dyDescent="0.3">
      <c r="A64" s="462" t="s">
        <v>241</v>
      </c>
      <c r="B64" s="395">
        <f t="shared" ref="B64:AG64" si="20">AVERAGEIFS($B45:$YS45,$B$60:$YS$60,RIGHT(LEFT(B$61,2),1),$B$59:$YS$59,RIGHT(B$61,4))</f>
        <v>603.51600000000008</v>
      </c>
      <c r="C64" s="395">
        <f t="shared" si="20"/>
        <v>583.56899999999996</v>
      </c>
      <c r="D64" s="395">
        <f t="shared" si="20"/>
        <v>568.23400000000004</v>
      </c>
      <c r="E64" s="395">
        <f t="shared" si="20"/>
        <v>557.41999999999996</v>
      </c>
      <c r="F64" s="395">
        <f t="shared" si="20"/>
        <v>537.30399999999997</v>
      </c>
      <c r="G64" s="395">
        <f t="shared" si="20"/>
        <v>550.697</v>
      </c>
      <c r="H64" s="395">
        <f t="shared" si="20"/>
        <v>527.04899999999998</v>
      </c>
      <c r="I64" s="395">
        <f t="shared" si="20"/>
        <v>561.75600000000009</v>
      </c>
      <c r="J64" s="395">
        <f t="shared" si="20"/>
        <v>545.43700000000001</v>
      </c>
      <c r="K64" s="395">
        <f t="shared" si="20"/>
        <v>615.05100000000004</v>
      </c>
      <c r="L64" s="395">
        <f t="shared" si="20"/>
        <v>659.65200000000004</v>
      </c>
      <c r="M64" s="395">
        <f t="shared" si="20"/>
        <v>653.57599999999991</v>
      </c>
      <c r="N64" s="395">
        <f t="shared" si="20"/>
        <v>610.3069999999999</v>
      </c>
      <c r="O64" s="395">
        <f t="shared" si="20"/>
        <v>616.52900000000011</v>
      </c>
      <c r="P64" s="395">
        <f t="shared" si="20"/>
        <v>658.173</v>
      </c>
      <c r="Q64" s="395">
        <f t="shared" si="20"/>
        <v>717.90500000000009</v>
      </c>
      <c r="R64" s="395">
        <f t="shared" si="20"/>
        <v>717.10800000000006</v>
      </c>
      <c r="S64" s="395">
        <f t="shared" si="20"/>
        <v>732.65099999999995</v>
      </c>
      <c r="T64" s="395">
        <f t="shared" si="20"/>
        <v>745.48</v>
      </c>
      <c r="U64" s="395">
        <f t="shared" si="20"/>
        <v>676.50599999999997</v>
      </c>
      <c r="V64" s="395">
        <f t="shared" si="20"/>
        <v>637.7890000000001</v>
      </c>
      <c r="W64" s="395">
        <f t="shared" si="20"/>
        <v>699.154</v>
      </c>
      <c r="X64" s="395">
        <f t="shared" si="20"/>
        <v>734.29599999999994</v>
      </c>
      <c r="Y64" s="395">
        <f t="shared" si="20"/>
        <v>741.09400000000005</v>
      </c>
      <c r="Z64" s="395">
        <f t="shared" si="20"/>
        <v>716.85500000000002</v>
      </c>
      <c r="AA64" s="395">
        <f t="shared" si="20"/>
        <v>690.08300000000008</v>
      </c>
      <c r="AB64" s="395">
        <f t="shared" si="20"/>
        <v>739.20500000000004</v>
      </c>
      <c r="AC64" s="395">
        <f t="shared" si="20"/>
        <v>801.36199999999997</v>
      </c>
      <c r="AD64" s="395">
        <f t="shared" si="20"/>
        <v>810.32999999999993</v>
      </c>
      <c r="AE64" s="395">
        <f t="shared" si="20"/>
        <v>882.6930000000001</v>
      </c>
      <c r="AF64" s="395">
        <f t="shared" si="20"/>
        <v>814.87600000000009</v>
      </c>
      <c r="AG64" s="395">
        <f t="shared" si="20"/>
        <v>785.38599999999997</v>
      </c>
      <c r="AH64" s="395">
        <f t="shared" ref="AH64:BB64" si="21">AVERAGEIFS($B45:$YS45,$B$60:$YS$60,RIGHT(LEFT(AH$61,2),1),$B$59:$YS$59,RIGHT(AH$61,4))</f>
        <v>752.48099999999988</v>
      </c>
      <c r="AI64" s="395">
        <f t="shared" si="21"/>
        <v>749.36900000000003</v>
      </c>
      <c r="AJ64" s="395">
        <f t="shared" si="21"/>
        <v>757.92700000000002</v>
      </c>
      <c r="AK64" s="395">
        <f t="shared" si="21"/>
        <v>721.495</v>
      </c>
      <c r="AL64" s="395">
        <f t="shared" si="21"/>
        <v>701.197</v>
      </c>
      <c r="AM64" s="395">
        <f t="shared" si="21"/>
        <v>713.03599999999994</v>
      </c>
      <c r="AN64" s="395">
        <f t="shared" si="21"/>
        <v>687.32</v>
      </c>
      <c r="AO64" s="395">
        <f t="shared" si="21"/>
        <v>642.13199999999995</v>
      </c>
      <c r="AP64" s="395">
        <f t="shared" si="21"/>
        <v>642.4319999999999</v>
      </c>
      <c r="AQ64" s="395">
        <f t="shared" si="21"/>
        <v>615.577</v>
      </c>
      <c r="AR64" s="395">
        <f t="shared" si="21"/>
        <v>710.75250000000005</v>
      </c>
      <c r="AS64" s="395">
        <f t="shared" si="21"/>
        <v>891.63800000000003</v>
      </c>
      <c r="AT64" s="395">
        <f t="shared" si="21"/>
        <v>891.63800000000003</v>
      </c>
      <c r="AU64" s="395">
        <f t="shared" si="21"/>
        <v>891.63800000000003</v>
      </c>
      <c r="AV64" s="395">
        <f t="shared" si="21"/>
        <v>891.63800000000003</v>
      </c>
      <c r="AW64" s="395">
        <f t="shared" si="21"/>
        <v>891.63800000000003</v>
      </c>
      <c r="AX64" s="395">
        <f t="shared" si="21"/>
        <v>891.63800000000003</v>
      </c>
      <c r="AY64" s="395">
        <f t="shared" si="21"/>
        <v>891.63800000000003</v>
      </c>
      <c r="AZ64" s="395">
        <f t="shared" si="21"/>
        <v>891.63800000000003</v>
      </c>
      <c r="BA64" s="395">
        <f t="shared" si="21"/>
        <v>891.63800000000003</v>
      </c>
      <c r="BB64" s="396">
        <f t="shared" si="21"/>
        <v>891.63800000000003</v>
      </c>
      <c r="BC64" s="418"/>
      <c r="BD64" s="418"/>
      <c r="BE64" s="418"/>
      <c r="BF64" s="418"/>
      <c r="BG64" s="418"/>
      <c r="BH64" s="418"/>
      <c r="BI64" s="418"/>
      <c r="BJ64" s="418"/>
      <c r="BK64" s="418"/>
      <c r="BL64" s="418"/>
      <c r="BM64" s="418"/>
      <c r="BN64" s="418"/>
      <c r="BO64" s="418"/>
      <c r="BP64" s="418"/>
      <c r="BQ64" s="418"/>
      <c r="BR64" s="418"/>
      <c r="BS64" s="418"/>
      <c r="FY64" s="15"/>
      <c r="GE64" s="15"/>
      <c r="GK64" s="15"/>
      <c r="GQ64" s="15"/>
      <c r="GW64" s="15"/>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3"/>
      <c r="IO64" s="2"/>
      <c r="IP64" s="2"/>
      <c r="IQ64" s="2"/>
      <c r="IR64" s="2"/>
      <c r="IS64" s="2"/>
      <c r="IT64" s="2"/>
      <c r="IU64" s="2"/>
      <c r="IV64" s="2"/>
      <c r="IW64" s="2"/>
      <c r="IX64" s="2"/>
      <c r="IY64" s="2"/>
      <c r="IZ64" s="2"/>
      <c r="JA64" s="2"/>
      <c r="JB64" s="2"/>
      <c r="JC64" s="2"/>
      <c r="JD64" s="2"/>
      <c r="JE64" s="2"/>
    </row>
    <row r="65" spans="1:519" ht="14.4" hidden="1" customHeight="1" x14ac:dyDescent="0.3">
      <c r="A65" s="462" t="s">
        <v>242</v>
      </c>
      <c r="B65" s="392">
        <f t="shared" ref="B65:AG65" si="22">AVERAGEIFS($B46:$YS46,$B$60:$YS$60,RIGHT(LEFT(B$61,2),1),$B$59:$YS$59,RIGHT(B$61,4))</f>
        <v>657.096</v>
      </c>
      <c r="C65" s="392">
        <f t="shared" si="22"/>
        <v>695.39</v>
      </c>
      <c r="D65" s="392">
        <f t="shared" si="22"/>
        <v>496.59300000000002</v>
      </c>
      <c r="E65" s="392">
        <f t="shared" si="22"/>
        <v>298.185</v>
      </c>
      <c r="F65" s="392">
        <f t="shared" si="22"/>
        <v>291.21899999999999</v>
      </c>
      <c r="G65" s="392">
        <f t="shared" si="22"/>
        <v>292.86799999999999</v>
      </c>
      <c r="H65" s="392">
        <f t="shared" si="22"/>
        <v>285.77600000000001</v>
      </c>
      <c r="I65" s="392">
        <f t="shared" si="22"/>
        <v>344.16500000000002</v>
      </c>
      <c r="J65" s="392">
        <f t="shared" si="22"/>
        <v>345.36000000000007</v>
      </c>
      <c r="K65" s="392">
        <f t="shared" si="22"/>
        <v>389.79300000000006</v>
      </c>
      <c r="L65" s="392">
        <f t="shared" si="22"/>
        <v>423.50799999999998</v>
      </c>
      <c r="M65" s="392">
        <f t="shared" si="22"/>
        <v>514.00199999999995</v>
      </c>
      <c r="N65" s="392">
        <f t="shared" si="22"/>
        <v>542.25400000000002</v>
      </c>
      <c r="O65" s="392">
        <f t="shared" si="22"/>
        <v>611.03399999999999</v>
      </c>
      <c r="P65" s="392">
        <f t="shared" si="22"/>
        <v>629.77600000000007</v>
      </c>
      <c r="Q65" s="392">
        <f t="shared" si="22"/>
        <v>631.471</v>
      </c>
      <c r="R65" s="392">
        <f t="shared" si="22"/>
        <v>617.35300000000007</v>
      </c>
      <c r="S65" s="392">
        <f t="shared" si="22"/>
        <v>543.23200000000008</v>
      </c>
      <c r="T65" s="392">
        <f t="shared" si="22"/>
        <v>626.16300000000001</v>
      </c>
      <c r="U65" s="392">
        <f t="shared" si="22"/>
        <v>652.73100000000011</v>
      </c>
      <c r="V65" s="392">
        <f t="shared" si="22"/>
        <v>648.03000000000009</v>
      </c>
      <c r="W65" s="392">
        <f t="shared" si="22"/>
        <v>832.78399999999999</v>
      </c>
      <c r="X65" s="392">
        <f t="shared" si="22"/>
        <v>889.74400000000003</v>
      </c>
      <c r="Y65" s="392">
        <f t="shared" si="22"/>
        <v>872.53300000000002</v>
      </c>
      <c r="Z65" s="392">
        <f t="shared" si="22"/>
        <v>899.84499999999991</v>
      </c>
      <c r="AA65" s="392">
        <f t="shared" si="22"/>
        <v>917.16899999999998</v>
      </c>
      <c r="AB65" s="392">
        <f t="shared" si="22"/>
        <v>890.88799999999992</v>
      </c>
      <c r="AC65" s="392">
        <f t="shared" si="22"/>
        <v>978.12399999999991</v>
      </c>
      <c r="AD65" s="392">
        <f t="shared" si="22"/>
        <v>766.11500000000012</v>
      </c>
      <c r="AE65" s="392">
        <f t="shared" si="22"/>
        <v>713.23700000000008</v>
      </c>
      <c r="AF65" s="392">
        <f t="shared" si="22"/>
        <v>701.01499999999999</v>
      </c>
      <c r="AG65" s="392">
        <f t="shared" si="22"/>
        <v>765.33399999999995</v>
      </c>
      <c r="AH65" s="392">
        <f t="shared" ref="AH65:BB65" si="23">AVERAGEIFS($B46:$YS46,$B$60:$YS$60,RIGHT(LEFT(AH$61,2),1),$B$59:$YS$59,RIGHT(AH$61,4))</f>
        <v>768.52499999999998</v>
      </c>
      <c r="AI65" s="392">
        <f t="shared" si="23"/>
        <v>784.20400000000006</v>
      </c>
      <c r="AJ65" s="392">
        <f t="shared" si="23"/>
        <v>749.45899999999983</v>
      </c>
      <c r="AK65" s="392">
        <f t="shared" si="23"/>
        <v>799.471</v>
      </c>
      <c r="AL65" s="392">
        <f t="shared" si="23"/>
        <v>733.03200000000004</v>
      </c>
      <c r="AM65" s="392">
        <f t="shared" si="23"/>
        <v>743.04500000000007</v>
      </c>
      <c r="AN65" s="392">
        <f t="shared" si="23"/>
        <v>669.94899999999996</v>
      </c>
      <c r="AO65" s="392">
        <f t="shared" si="23"/>
        <v>646.35800000000006</v>
      </c>
      <c r="AP65" s="392">
        <f t="shared" si="23"/>
        <v>713.74200000000008</v>
      </c>
      <c r="AQ65" s="392">
        <f t="shared" si="23"/>
        <v>811.87300000000005</v>
      </c>
      <c r="AR65" s="392">
        <f t="shared" si="23"/>
        <v>758.54599999999982</v>
      </c>
      <c r="AS65" s="392">
        <f t="shared" si="23"/>
        <v>933.10199999999998</v>
      </c>
      <c r="AT65" s="392">
        <f t="shared" si="23"/>
        <v>933.10199999999998</v>
      </c>
      <c r="AU65" s="392">
        <f t="shared" si="23"/>
        <v>933.10199999999998</v>
      </c>
      <c r="AV65" s="392">
        <f t="shared" si="23"/>
        <v>933.10199999999998</v>
      </c>
      <c r="AW65" s="392">
        <f t="shared" si="23"/>
        <v>933.10199999999998</v>
      </c>
      <c r="AX65" s="392">
        <f t="shared" si="23"/>
        <v>933.10199999999998</v>
      </c>
      <c r="AY65" s="392">
        <f t="shared" si="23"/>
        <v>933.10199999999998</v>
      </c>
      <c r="AZ65" s="392">
        <f t="shared" si="23"/>
        <v>933.10199999999998</v>
      </c>
      <c r="BA65" s="392">
        <f t="shared" si="23"/>
        <v>933.10199999999998</v>
      </c>
      <c r="BB65" s="393">
        <f t="shared" si="23"/>
        <v>933.10199999999998</v>
      </c>
      <c r="BC65" s="418"/>
      <c r="BD65" s="418"/>
      <c r="BE65" s="418"/>
      <c r="BF65" s="418"/>
      <c r="BG65" s="418"/>
      <c r="BH65" s="418"/>
      <c r="BI65" s="418"/>
      <c r="BJ65" s="418"/>
      <c r="BK65" s="418"/>
      <c r="BL65" s="418"/>
      <c r="BM65" s="418"/>
      <c r="BN65" s="418"/>
      <c r="BO65" s="418"/>
      <c r="BP65" s="418"/>
      <c r="BQ65" s="418"/>
      <c r="BR65" s="418"/>
      <c r="BS65" s="418"/>
      <c r="FY65" s="15"/>
      <c r="GE65" s="15"/>
      <c r="GK65" s="15"/>
      <c r="GQ65" s="15"/>
      <c r="GW65" s="15"/>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3"/>
      <c r="IO65" s="2"/>
      <c r="IP65" s="2"/>
      <c r="IQ65" s="2"/>
      <c r="IR65" s="2"/>
      <c r="IS65" s="2"/>
      <c r="IT65" s="2"/>
      <c r="IU65" s="2"/>
      <c r="IV65" s="2"/>
      <c r="IW65" s="2"/>
      <c r="IX65" s="2"/>
      <c r="IY65" s="2"/>
      <c r="IZ65" s="2"/>
      <c r="JA65" s="2"/>
      <c r="JB65" s="2"/>
      <c r="JC65" s="2"/>
      <c r="JD65" s="2"/>
      <c r="JE65" s="2"/>
    </row>
    <row r="66" spans="1:519" ht="14.4" hidden="1" customHeight="1" x14ac:dyDescent="0.3">
      <c r="A66" s="462" t="s">
        <v>243</v>
      </c>
      <c r="B66" s="395">
        <f t="shared" ref="B66:AG66" si="24">AVERAGEIFS($B48:$YS48,$B$60:$YS$60,RIGHT(LEFT(B$61,2),1),$B$59:$YS$59,RIGHT(B$61,4))</f>
        <v>978.57399999999996</v>
      </c>
      <c r="C66" s="395">
        <f t="shared" si="24"/>
        <v>1144.5989999999999</v>
      </c>
      <c r="D66" s="395">
        <f t="shared" si="24"/>
        <v>1202.768</v>
      </c>
      <c r="E66" s="395">
        <f t="shared" si="24"/>
        <v>1252.6720000000003</v>
      </c>
      <c r="F66" s="395">
        <f t="shared" si="24"/>
        <v>1167.9750000000001</v>
      </c>
      <c r="G66" s="395">
        <f t="shared" si="24"/>
        <v>1198.8880000000001</v>
      </c>
      <c r="H66" s="395">
        <f t="shared" si="24"/>
        <v>1370.74</v>
      </c>
      <c r="I66" s="395">
        <f t="shared" si="24"/>
        <v>1553.2389999999998</v>
      </c>
      <c r="J66" s="395">
        <f t="shared" si="24"/>
        <v>1815.6900000000003</v>
      </c>
      <c r="K66" s="395">
        <f t="shared" si="24"/>
        <v>1809.7569999999998</v>
      </c>
      <c r="L66" s="395">
        <f t="shared" si="24"/>
        <v>1742.4660000000001</v>
      </c>
      <c r="M66" s="395">
        <f t="shared" si="24"/>
        <v>2139.6889999999999</v>
      </c>
      <c r="N66" s="395">
        <f t="shared" si="24"/>
        <v>2169.279</v>
      </c>
      <c r="O66" s="395">
        <f t="shared" si="24"/>
        <v>2530.875</v>
      </c>
      <c r="P66" s="395">
        <f t="shared" si="24"/>
        <v>2654.7690000000002</v>
      </c>
      <c r="Q66" s="395">
        <f t="shared" si="24"/>
        <v>2845.529</v>
      </c>
      <c r="R66" s="395">
        <f t="shared" si="24"/>
        <v>1807.3059999999998</v>
      </c>
      <c r="S66" s="395">
        <f t="shared" si="24"/>
        <v>1326.9650000000001</v>
      </c>
      <c r="T66" s="395">
        <f t="shared" si="24"/>
        <v>1274.6479999999999</v>
      </c>
      <c r="U66" s="395">
        <f t="shared" si="24"/>
        <v>1657.2599999999995</v>
      </c>
      <c r="V66" s="395">
        <f t="shared" si="24"/>
        <v>1816.3050000000003</v>
      </c>
      <c r="W66" s="395">
        <f t="shared" si="24"/>
        <v>2134.6060000000002</v>
      </c>
      <c r="X66" s="395">
        <f t="shared" si="24"/>
        <v>2577.6149999999998</v>
      </c>
      <c r="Y66" s="395">
        <f t="shared" si="24"/>
        <v>2903.9060000000004</v>
      </c>
      <c r="Z66" s="395">
        <f t="shared" si="24"/>
        <v>2280.248</v>
      </c>
      <c r="AA66" s="395">
        <f t="shared" si="24"/>
        <v>1596.45</v>
      </c>
      <c r="AB66" s="395">
        <f t="shared" si="24"/>
        <v>1457.5069999999998</v>
      </c>
      <c r="AC66" s="395">
        <f t="shared" si="24"/>
        <v>1379.6320000000003</v>
      </c>
      <c r="AD66" s="395">
        <f t="shared" si="24"/>
        <v>1219.1780000000001</v>
      </c>
      <c r="AE66" s="395">
        <f t="shared" si="24"/>
        <v>907.20100000000002</v>
      </c>
      <c r="AF66" s="395">
        <f t="shared" si="24"/>
        <v>785.28200000000004</v>
      </c>
      <c r="AG66" s="395">
        <f t="shared" si="24"/>
        <v>749.83399999999995</v>
      </c>
      <c r="AH66" s="395">
        <f t="shared" ref="AH66:BB66" si="25">AVERAGEIFS($B48:$YS48,$B$60:$YS$60,RIGHT(LEFT(AH$61,2),1),$B$59:$YS$59,RIGHT(AH$61,4))</f>
        <v>774.79</v>
      </c>
      <c r="AI66" s="395">
        <f t="shared" si="25"/>
        <v>780.60299999999995</v>
      </c>
      <c r="AJ66" s="395">
        <f t="shared" si="25"/>
        <v>796.79699999999991</v>
      </c>
      <c r="AK66" s="395">
        <f t="shared" si="25"/>
        <v>850.57400000000007</v>
      </c>
      <c r="AL66" s="395">
        <f t="shared" si="25"/>
        <v>822.125</v>
      </c>
      <c r="AM66" s="395">
        <f t="shared" si="25"/>
        <v>687.79500000000007</v>
      </c>
      <c r="AN66" s="395">
        <f t="shared" si="25"/>
        <v>547.92200000000003</v>
      </c>
      <c r="AO66" s="395">
        <f t="shared" si="25"/>
        <v>418.44200000000001</v>
      </c>
      <c r="AP66" s="395">
        <f t="shared" si="25"/>
        <v>132.97399999999999</v>
      </c>
      <c r="AQ66" s="395">
        <f t="shared" si="25"/>
        <v>280.34899999999999</v>
      </c>
      <c r="AR66" s="395">
        <f t="shared" si="25"/>
        <v>241.655</v>
      </c>
      <c r="AS66" s="395">
        <f t="shared" si="25"/>
        <v>368.25200000000001</v>
      </c>
      <c r="AT66" s="395">
        <f t="shared" si="25"/>
        <v>368.25200000000001</v>
      </c>
      <c r="AU66" s="395">
        <f t="shared" si="25"/>
        <v>368.25200000000001</v>
      </c>
      <c r="AV66" s="395">
        <f t="shared" si="25"/>
        <v>368.25200000000001</v>
      </c>
      <c r="AW66" s="395">
        <f t="shared" si="25"/>
        <v>368.25200000000001</v>
      </c>
      <c r="AX66" s="395">
        <f t="shared" si="25"/>
        <v>368.25200000000001</v>
      </c>
      <c r="AY66" s="395">
        <f t="shared" si="25"/>
        <v>368.25200000000001</v>
      </c>
      <c r="AZ66" s="395">
        <f t="shared" si="25"/>
        <v>368.25200000000001</v>
      </c>
      <c r="BA66" s="395">
        <f t="shared" si="25"/>
        <v>368.25200000000001</v>
      </c>
      <c r="BB66" s="396">
        <f t="shared" si="25"/>
        <v>368.25200000000001</v>
      </c>
      <c r="BC66" s="418"/>
      <c r="BD66" s="418"/>
      <c r="BE66" s="418"/>
      <c r="BF66" s="418"/>
      <c r="BG66" s="418"/>
      <c r="BH66" s="418"/>
      <c r="BI66" s="418"/>
      <c r="BJ66" s="418"/>
      <c r="BK66" s="418"/>
      <c r="BL66" s="418"/>
      <c r="BM66" s="418"/>
      <c r="BN66" s="418"/>
      <c r="BO66" s="418"/>
      <c r="BP66" s="418"/>
      <c r="BQ66" s="418"/>
      <c r="BR66" s="418"/>
      <c r="BS66" s="418"/>
      <c r="FY66" s="15"/>
      <c r="GE66" s="15"/>
      <c r="GK66" s="15"/>
      <c r="GQ66" s="15"/>
      <c r="GW66" s="15"/>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3"/>
      <c r="IO66" s="2"/>
      <c r="IP66" s="2"/>
      <c r="IQ66" s="2"/>
      <c r="IR66" s="2"/>
      <c r="IS66" s="2"/>
      <c r="IT66" s="2"/>
      <c r="IU66" s="2"/>
      <c r="IV66" s="2"/>
      <c r="IW66" s="2"/>
      <c r="IX66" s="2"/>
      <c r="IY66" s="2"/>
      <c r="IZ66" s="2"/>
      <c r="JA66" s="2"/>
      <c r="JB66" s="2"/>
      <c r="JC66" s="2"/>
      <c r="JD66" s="2"/>
      <c r="JE66" s="2"/>
    </row>
    <row r="67" spans="1:519" ht="14.4" hidden="1" customHeight="1" x14ac:dyDescent="0.3">
      <c r="A67" s="462" t="s">
        <v>87</v>
      </c>
      <c r="B67" s="392">
        <f t="shared" ref="B67:AG67" si="26">AVERAGEIFS($B49:$YS49,$B$60:$YS$60,RIGHT(LEFT(B$61,2),1),$B$59:$YS$59,RIGHT(B$61,4))</f>
        <v>13689.751999999999</v>
      </c>
      <c r="C67" s="392">
        <f t="shared" si="26"/>
        <v>13445.807999999999</v>
      </c>
      <c r="D67" s="392">
        <f t="shared" si="26"/>
        <v>12797.973</v>
      </c>
      <c r="E67" s="392">
        <f t="shared" si="26"/>
        <v>13466.312000000004</v>
      </c>
      <c r="F67" s="392">
        <f t="shared" si="26"/>
        <v>12983.375</v>
      </c>
      <c r="G67" s="392">
        <f t="shared" si="26"/>
        <v>13513.825999999999</v>
      </c>
      <c r="H67" s="392">
        <f t="shared" si="26"/>
        <v>13961.582999999999</v>
      </c>
      <c r="I67" s="392">
        <f t="shared" si="26"/>
        <v>13446.075000000003</v>
      </c>
      <c r="J67" s="392">
        <f t="shared" si="26"/>
        <v>12257.298000000001</v>
      </c>
      <c r="K67" s="392">
        <f t="shared" si="26"/>
        <v>12324.705000000002</v>
      </c>
      <c r="L67" s="392">
        <f t="shared" si="26"/>
        <v>12386.591</v>
      </c>
      <c r="M67" s="392">
        <f t="shared" si="26"/>
        <v>13126.296</v>
      </c>
      <c r="N67" s="392">
        <f t="shared" si="26"/>
        <v>13800.672</v>
      </c>
      <c r="O67" s="392">
        <f t="shared" si="26"/>
        <v>14555.615</v>
      </c>
      <c r="P67" s="392">
        <f t="shared" si="26"/>
        <v>15221.803</v>
      </c>
      <c r="Q67" s="392">
        <f t="shared" si="26"/>
        <v>15889.134</v>
      </c>
      <c r="R67" s="392">
        <f t="shared" si="26"/>
        <v>17430.981000000003</v>
      </c>
      <c r="S67" s="392">
        <f t="shared" si="26"/>
        <v>16141.519999999999</v>
      </c>
      <c r="T67" s="392">
        <f t="shared" si="26"/>
        <v>16619.527000000002</v>
      </c>
      <c r="U67" s="392">
        <f t="shared" si="26"/>
        <v>17225.933000000001</v>
      </c>
      <c r="V67" s="392">
        <f t="shared" si="26"/>
        <v>18108.502</v>
      </c>
      <c r="W67" s="392">
        <f t="shared" si="26"/>
        <v>20280.350000000002</v>
      </c>
      <c r="X67" s="392">
        <f t="shared" si="26"/>
        <v>21425.876</v>
      </c>
      <c r="Y67" s="392">
        <f t="shared" si="26"/>
        <v>22002.462</v>
      </c>
      <c r="Z67" s="392">
        <f t="shared" si="26"/>
        <v>21388.969000000001</v>
      </c>
      <c r="AA67" s="392">
        <f t="shared" si="26"/>
        <v>18649.651000000002</v>
      </c>
      <c r="AB67" s="392">
        <f t="shared" si="26"/>
        <v>16514.578000000001</v>
      </c>
      <c r="AC67" s="392">
        <f t="shared" si="26"/>
        <v>16968.543999999998</v>
      </c>
      <c r="AD67" s="392">
        <f t="shared" si="26"/>
        <v>17337.027999999995</v>
      </c>
      <c r="AE67" s="392">
        <f t="shared" si="26"/>
        <v>18541.895</v>
      </c>
      <c r="AF67" s="392">
        <f t="shared" si="26"/>
        <v>20171.585999999999</v>
      </c>
      <c r="AG67" s="392">
        <f t="shared" si="26"/>
        <v>21386.342000000001</v>
      </c>
      <c r="AH67" s="392">
        <f t="shared" ref="AH67:BB67" si="27">AVERAGEIFS($B49:$YS49,$B$60:$YS$60,RIGHT(LEFT(AH$61,2),1),$B$59:$YS$59,RIGHT(AH$61,4))</f>
        <v>22142.062000000002</v>
      </c>
      <c r="AI67" s="392">
        <f t="shared" si="27"/>
        <v>23391.183000000001</v>
      </c>
      <c r="AJ67" s="392">
        <f t="shared" si="27"/>
        <v>24173.528999999999</v>
      </c>
      <c r="AK67" s="392">
        <f t="shared" si="27"/>
        <v>25563.539999999997</v>
      </c>
      <c r="AL67" s="392">
        <f t="shared" si="27"/>
        <v>25756.906000000003</v>
      </c>
      <c r="AM67" s="392">
        <f t="shared" si="27"/>
        <v>26281.999</v>
      </c>
      <c r="AN67" s="392">
        <f t="shared" si="27"/>
        <v>26291.323</v>
      </c>
      <c r="AO67" s="392">
        <f t="shared" si="27"/>
        <v>27412.697000000004</v>
      </c>
      <c r="AP67" s="392">
        <f t="shared" si="27"/>
        <v>29426.287</v>
      </c>
      <c r="AQ67" s="392">
        <f t="shared" si="27"/>
        <v>30671.918000000001</v>
      </c>
      <c r="AR67" s="392">
        <f t="shared" si="27"/>
        <v>30759.419000000002</v>
      </c>
      <c r="AS67" s="392">
        <f t="shared" si="27"/>
        <v>33102.44</v>
      </c>
      <c r="AT67" s="392">
        <f t="shared" si="27"/>
        <v>33102.44</v>
      </c>
      <c r="AU67" s="392">
        <f t="shared" si="27"/>
        <v>33102.44</v>
      </c>
      <c r="AV67" s="392">
        <f t="shared" si="27"/>
        <v>33102.44</v>
      </c>
      <c r="AW67" s="392">
        <f t="shared" si="27"/>
        <v>33102.44</v>
      </c>
      <c r="AX67" s="392">
        <f t="shared" si="27"/>
        <v>33102.44</v>
      </c>
      <c r="AY67" s="392">
        <f t="shared" si="27"/>
        <v>33102.44</v>
      </c>
      <c r="AZ67" s="392">
        <f t="shared" si="27"/>
        <v>33102.44</v>
      </c>
      <c r="BA67" s="392">
        <f t="shared" si="27"/>
        <v>33102.44</v>
      </c>
      <c r="BB67" s="393">
        <f t="shared" si="27"/>
        <v>33102.44</v>
      </c>
      <c r="BC67" s="418"/>
      <c r="BD67" s="418"/>
      <c r="BE67" s="418"/>
      <c r="BF67" s="418"/>
      <c r="BG67" s="418"/>
      <c r="BH67" s="418"/>
      <c r="BI67" s="418"/>
      <c r="BJ67" s="418"/>
      <c r="BK67" s="418"/>
      <c r="BL67" s="418"/>
      <c r="BM67" s="418"/>
      <c r="BN67" s="418"/>
      <c r="BO67" s="418"/>
      <c r="BP67" s="418"/>
      <c r="BQ67" s="418"/>
      <c r="BR67" s="418"/>
      <c r="BS67" s="418"/>
      <c r="FY67" s="15"/>
      <c r="GE67" s="15"/>
      <c r="GK67" s="15"/>
      <c r="GQ67" s="15"/>
      <c r="GW67" s="15"/>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3"/>
      <c r="IO67" s="2"/>
      <c r="IP67" s="2"/>
      <c r="IQ67" s="2"/>
      <c r="IR67" s="2"/>
      <c r="IS67" s="2"/>
      <c r="IT67" s="2"/>
      <c r="IU67" s="2"/>
      <c r="IV67" s="2"/>
      <c r="IW67" s="2"/>
      <c r="IX67" s="2"/>
      <c r="IY67" s="2"/>
      <c r="IZ67" s="2"/>
      <c r="JA67" s="2"/>
      <c r="JB67" s="2"/>
      <c r="JC67" s="2"/>
      <c r="JD67" s="2"/>
      <c r="JE67" s="2"/>
    </row>
    <row r="68" spans="1:519" ht="14.4" hidden="1" customHeight="1" x14ac:dyDescent="0.3">
      <c r="A68" s="462" t="s">
        <v>244</v>
      </c>
      <c r="B68" s="395">
        <f t="shared" ref="B68:AG68" si="28">AVERAGEIFS($B52:$YS52,$B$60:$YS$60,RIGHT(LEFT(B$61,2),1),$B$59:$YS$59,RIGHT(B$61,4))</f>
        <v>2343.7830000000004</v>
      </c>
      <c r="C68" s="395">
        <f t="shared" si="28"/>
        <v>2350.5409999999997</v>
      </c>
      <c r="D68" s="395">
        <f t="shared" si="28"/>
        <v>2353.2550000000001</v>
      </c>
      <c r="E68" s="395">
        <f t="shared" si="28"/>
        <v>2020.0030000000004</v>
      </c>
      <c r="F68" s="395">
        <f t="shared" si="28"/>
        <v>2059.5940000000001</v>
      </c>
      <c r="G68" s="395">
        <f t="shared" si="28"/>
        <v>2210.36</v>
      </c>
      <c r="H68" s="395">
        <f t="shared" si="28"/>
        <v>2335.2739999999999</v>
      </c>
      <c r="I68" s="395">
        <f t="shared" si="28"/>
        <v>2290.8250000000003</v>
      </c>
      <c r="J68" s="395">
        <f t="shared" si="28"/>
        <v>2130.6029999999996</v>
      </c>
      <c r="K68" s="395">
        <f t="shared" si="28"/>
        <v>2346.027</v>
      </c>
      <c r="L68" s="395">
        <f t="shared" si="28"/>
        <v>2585.1429999999996</v>
      </c>
      <c r="M68" s="395">
        <f t="shared" si="28"/>
        <v>2368.3469999999998</v>
      </c>
      <c r="N68" s="395">
        <f t="shared" si="28"/>
        <v>2503.3919999999998</v>
      </c>
      <c r="O68" s="395">
        <f t="shared" si="28"/>
        <v>2320.6779999999999</v>
      </c>
      <c r="P68" s="395">
        <f t="shared" si="28"/>
        <v>2384.4560000000001</v>
      </c>
      <c r="Q68" s="395">
        <f t="shared" si="28"/>
        <v>2199.3810000000003</v>
      </c>
      <c r="R68" s="395">
        <f t="shared" si="28"/>
        <v>2147.1379999999995</v>
      </c>
      <c r="S68" s="395">
        <f t="shared" si="28"/>
        <v>1669.0900000000001</v>
      </c>
      <c r="T68" s="395">
        <f t="shared" si="28"/>
        <v>1543.848</v>
      </c>
      <c r="U68" s="395">
        <f t="shared" si="28"/>
        <v>1350.7630000000001</v>
      </c>
      <c r="V68" s="395">
        <f t="shared" si="28"/>
        <v>1453.9350000000002</v>
      </c>
      <c r="W68" s="395">
        <f t="shared" si="28"/>
        <v>1723.673</v>
      </c>
      <c r="X68" s="395">
        <f t="shared" si="28"/>
        <v>2036.3209999999999</v>
      </c>
      <c r="Y68" s="395">
        <f t="shared" si="28"/>
        <v>1721.771</v>
      </c>
      <c r="Z68" s="395">
        <f t="shared" si="28"/>
        <v>1582.7640000000001</v>
      </c>
      <c r="AA68" s="395">
        <f t="shared" si="28"/>
        <v>1348.9449999999999</v>
      </c>
      <c r="AB68" s="395">
        <f t="shared" si="28"/>
        <v>1463.9840000000002</v>
      </c>
      <c r="AC68" s="395">
        <f t="shared" si="28"/>
        <v>1245.768</v>
      </c>
      <c r="AD68" s="395">
        <f t="shared" si="28"/>
        <v>1460.9809999999998</v>
      </c>
      <c r="AE68" s="395">
        <f t="shared" si="28"/>
        <v>1474.4259999999997</v>
      </c>
      <c r="AF68" s="395">
        <f t="shared" si="28"/>
        <v>1366.5249999999999</v>
      </c>
      <c r="AG68" s="395">
        <f t="shared" si="28"/>
        <v>1290.1699999999998</v>
      </c>
      <c r="AH68" s="395">
        <f t="shared" ref="AH68:BB68" si="29">AVERAGEIFS($B52:$YS52,$B$60:$YS$60,RIGHT(LEFT(AH$61,2),1),$B$59:$YS$59,RIGHT(AH$61,4))</f>
        <v>1359.556</v>
      </c>
      <c r="AI68" s="395">
        <f t="shared" si="29"/>
        <v>1322.77</v>
      </c>
      <c r="AJ68" s="395">
        <f t="shared" si="29"/>
        <v>1678.674</v>
      </c>
      <c r="AK68" s="395">
        <f t="shared" si="29"/>
        <v>2018.3</v>
      </c>
      <c r="AL68" s="395">
        <f t="shared" si="29"/>
        <v>2087.7779999999998</v>
      </c>
      <c r="AM68" s="395">
        <f t="shared" si="29"/>
        <v>1894.6509999999998</v>
      </c>
      <c r="AN68" s="395">
        <f t="shared" si="29"/>
        <v>2020.2790000000002</v>
      </c>
      <c r="AO68" s="395">
        <f t="shared" si="29"/>
        <v>1829.8730000000003</v>
      </c>
      <c r="AP68" s="395">
        <f t="shared" si="29"/>
        <v>1910.825</v>
      </c>
      <c r="AQ68" s="395">
        <f t="shared" si="29"/>
        <v>2140.8139999999999</v>
      </c>
      <c r="AR68" s="395">
        <f t="shared" si="29"/>
        <v>2631.5825</v>
      </c>
      <c r="AS68" s="395">
        <f t="shared" si="29"/>
        <v>2698.1179999999999</v>
      </c>
      <c r="AT68" s="395">
        <f t="shared" si="29"/>
        <v>2698.1179999999999</v>
      </c>
      <c r="AU68" s="395">
        <f t="shared" si="29"/>
        <v>2698.1179999999999</v>
      </c>
      <c r="AV68" s="395">
        <f t="shared" si="29"/>
        <v>2698.1179999999999</v>
      </c>
      <c r="AW68" s="395">
        <f t="shared" si="29"/>
        <v>2698.1179999999999</v>
      </c>
      <c r="AX68" s="395">
        <f t="shared" si="29"/>
        <v>2698.1179999999999</v>
      </c>
      <c r="AY68" s="395">
        <f t="shared" si="29"/>
        <v>2698.1179999999999</v>
      </c>
      <c r="AZ68" s="395">
        <f t="shared" si="29"/>
        <v>2698.1179999999999</v>
      </c>
      <c r="BA68" s="395">
        <f t="shared" si="29"/>
        <v>2698.1179999999999</v>
      </c>
      <c r="BB68" s="396">
        <f t="shared" si="29"/>
        <v>2698.1179999999999</v>
      </c>
      <c r="BC68" s="418"/>
      <c r="BD68" s="418"/>
      <c r="BE68" s="418"/>
      <c r="BF68" s="418"/>
      <c r="BG68" s="418"/>
      <c r="BH68" s="418"/>
      <c r="BI68" s="418"/>
      <c r="BJ68" s="418"/>
      <c r="BK68" s="418"/>
      <c r="BL68" s="418"/>
      <c r="BM68" s="418"/>
      <c r="BN68" s="418"/>
      <c r="BO68" s="418"/>
      <c r="BP68" s="418"/>
      <c r="BQ68" s="418"/>
      <c r="BR68" s="418"/>
      <c r="BS68" s="418"/>
      <c r="FY68" s="15"/>
      <c r="GE68" s="15"/>
      <c r="GK68" s="15"/>
      <c r="GQ68" s="15"/>
      <c r="GW68" s="15"/>
      <c r="HV68" s="2"/>
      <c r="HW68" s="2"/>
      <c r="HX68" s="2"/>
      <c r="HY68" s="2"/>
      <c r="HZ68" s="2"/>
      <c r="IA68" s="2"/>
      <c r="IB68" s="2"/>
      <c r="IC68" s="2"/>
      <c r="ID68" s="2"/>
      <c r="IE68" s="2"/>
      <c r="IF68" s="2"/>
      <c r="IG68" s="2"/>
      <c r="IH68" s="2"/>
      <c r="II68" s="2"/>
      <c r="IJ68" s="2"/>
      <c r="IK68" s="2"/>
      <c r="IL68" s="2"/>
      <c r="IM68" s="2"/>
      <c r="IN68" s="3"/>
      <c r="IO68" s="2"/>
      <c r="IP68" s="2"/>
      <c r="IQ68" s="2"/>
      <c r="IR68" s="2"/>
      <c r="IS68" s="2"/>
      <c r="IT68" s="2"/>
      <c r="IU68" s="2"/>
      <c r="IV68" s="2"/>
      <c r="IW68" s="2"/>
      <c r="IX68" s="2"/>
      <c r="IY68" s="2"/>
      <c r="IZ68" s="2"/>
      <c r="JA68" s="2"/>
      <c r="JB68" s="2"/>
      <c r="JC68" s="2"/>
      <c r="JD68" s="2"/>
      <c r="JE68" s="2"/>
    </row>
    <row r="69" spans="1:519" ht="14.4" hidden="1" customHeight="1" x14ac:dyDescent="0.3">
      <c r="A69" s="462" t="s">
        <v>245</v>
      </c>
      <c r="B69" s="392">
        <f t="shared" ref="B69:AG69" si="30">AVERAGEIFS($B50:$YS50,$B$60:$YS$60,RIGHT(LEFT(B$61,2),1),$B$59:$YS$59,RIGHT(B$61,4))</f>
        <v>8583.3539999999994</v>
      </c>
      <c r="C69" s="392">
        <f t="shared" si="30"/>
        <v>8942.2340000000004</v>
      </c>
      <c r="D69" s="392">
        <f t="shared" si="30"/>
        <v>7959.7180000000008</v>
      </c>
      <c r="E69" s="392">
        <f t="shared" si="30"/>
        <v>8932.0740000000005</v>
      </c>
      <c r="F69" s="392">
        <f t="shared" si="30"/>
        <v>10090.313</v>
      </c>
      <c r="G69" s="392">
        <f t="shared" si="30"/>
        <v>10933.224</v>
      </c>
      <c r="H69" s="392">
        <f t="shared" si="30"/>
        <v>12280.976999999999</v>
      </c>
      <c r="I69" s="392">
        <f t="shared" si="30"/>
        <v>12733.662999999999</v>
      </c>
      <c r="J69" s="392">
        <f t="shared" si="30"/>
        <v>12168.547</v>
      </c>
      <c r="K69" s="392">
        <f t="shared" si="30"/>
        <v>13949.483000000002</v>
      </c>
      <c r="L69" s="392">
        <f t="shared" si="30"/>
        <v>15770.941000000001</v>
      </c>
      <c r="M69" s="392">
        <f t="shared" si="30"/>
        <v>18228.001</v>
      </c>
      <c r="N69" s="392">
        <f t="shared" si="30"/>
        <v>18235.387999999999</v>
      </c>
      <c r="O69" s="392">
        <f t="shared" si="30"/>
        <v>18971.842000000001</v>
      </c>
      <c r="P69" s="392">
        <f t="shared" si="30"/>
        <v>20418.583000000002</v>
      </c>
      <c r="Q69" s="392">
        <f t="shared" si="30"/>
        <v>25527.01</v>
      </c>
      <c r="R69" s="392">
        <f t="shared" si="30"/>
        <v>25566.324000000004</v>
      </c>
      <c r="S69" s="392">
        <f t="shared" si="30"/>
        <v>26286.661000000004</v>
      </c>
      <c r="T69" s="392">
        <f t="shared" si="30"/>
        <v>25710.006999999998</v>
      </c>
      <c r="U69" s="392">
        <f t="shared" si="30"/>
        <v>29551.891</v>
      </c>
      <c r="V69" s="392">
        <f t="shared" si="30"/>
        <v>31030.452999999998</v>
      </c>
      <c r="W69" s="392">
        <f t="shared" si="30"/>
        <v>36800.840000000004</v>
      </c>
      <c r="X69" s="392">
        <f t="shared" si="30"/>
        <v>43967.79</v>
      </c>
      <c r="Y69" s="392">
        <f t="shared" si="30"/>
        <v>50134.788999999997</v>
      </c>
      <c r="Z69" s="392">
        <f t="shared" si="30"/>
        <v>54407.94</v>
      </c>
      <c r="AA69" s="392">
        <f t="shared" si="30"/>
        <v>57722.307000000001</v>
      </c>
      <c r="AB69" s="392">
        <f t="shared" si="30"/>
        <v>54812.665999999997</v>
      </c>
      <c r="AC69" s="392">
        <f t="shared" si="30"/>
        <v>55691.234000000004</v>
      </c>
      <c r="AD69" s="392">
        <f t="shared" si="30"/>
        <v>50121.972000000002</v>
      </c>
      <c r="AE69" s="392">
        <f t="shared" si="30"/>
        <v>47962.681000000004</v>
      </c>
      <c r="AF69" s="392">
        <f t="shared" si="30"/>
        <v>43211.184000000001</v>
      </c>
      <c r="AG69" s="392">
        <f t="shared" si="30"/>
        <v>42335.998999999996</v>
      </c>
      <c r="AH69" s="392">
        <f t="shared" ref="AH69:BB69" si="31">AVERAGEIFS($B50:$YS50,$B$60:$YS$60,RIGHT(LEFT(AH$61,2),1),$B$59:$YS$59,RIGHT(AH$61,4))</f>
        <v>41575.165999999997</v>
      </c>
      <c r="AI69" s="392">
        <f t="shared" si="31"/>
        <v>42081.274999999994</v>
      </c>
      <c r="AJ69" s="392">
        <f t="shared" si="31"/>
        <v>41988.673000000003</v>
      </c>
      <c r="AK69" s="392">
        <f t="shared" si="31"/>
        <v>44720.132000000005</v>
      </c>
      <c r="AL69" s="392">
        <f t="shared" si="31"/>
        <v>45511.228999999992</v>
      </c>
      <c r="AM69" s="392">
        <f t="shared" si="31"/>
        <v>50704.845000000001</v>
      </c>
      <c r="AN69" s="392">
        <f t="shared" si="31"/>
        <v>53937.305</v>
      </c>
      <c r="AO69" s="392">
        <f t="shared" si="31"/>
        <v>60079.665000000001</v>
      </c>
      <c r="AP69" s="392">
        <f t="shared" si="31"/>
        <v>60897.141000000003</v>
      </c>
      <c r="AQ69" s="392">
        <f t="shared" si="31"/>
        <v>61024.041999999994</v>
      </c>
      <c r="AR69" s="392">
        <f t="shared" si="31"/>
        <v>57528.486500000006</v>
      </c>
      <c r="AS69" s="392">
        <f t="shared" si="31"/>
        <v>66305.203999999998</v>
      </c>
      <c r="AT69" s="392">
        <f t="shared" si="31"/>
        <v>66305.203999999998</v>
      </c>
      <c r="AU69" s="392">
        <f t="shared" si="31"/>
        <v>66305.203999999998</v>
      </c>
      <c r="AV69" s="392">
        <f t="shared" si="31"/>
        <v>66305.203999999998</v>
      </c>
      <c r="AW69" s="392">
        <f t="shared" si="31"/>
        <v>66305.203999999998</v>
      </c>
      <c r="AX69" s="392">
        <f t="shared" si="31"/>
        <v>66305.203999999998</v>
      </c>
      <c r="AY69" s="392">
        <f t="shared" si="31"/>
        <v>66305.203999999998</v>
      </c>
      <c r="AZ69" s="392">
        <f t="shared" si="31"/>
        <v>66305.203999999998</v>
      </c>
      <c r="BA69" s="392">
        <f t="shared" si="31"/>
        <v>66305.203999999998</v>
      </c>
      <c r="BB69" s="393">
        <f t="shared" si="31"/>
        <v>66305.203999999998</v>
      </c>
      <c r="BC69" s="418"/>
      <c r="BD69" s="418"/>
      <c r="BE69" s="418"/>
      <c r="BF69" s="418"/>
      <c r="BG69" s="418"/>
      <c r="BH69" s="418"/>
      <c r="BI69" s="418"/>
      <c r="BJ69" s="418"/>
      <c r="BK69" s="418"/>
      <c r="BL69" s="418"/>
      <c r="BM69" s="418"/>
      <c r="BN69" s="418"/>
      <c r="BO69" s="418"/>
      <c r="BP69" s="418"/>
      <c r="BQ69" s="418"/>
      <c r="BR69" s="418"/>
      <c r="BS69" s="418"/>
      <c r="FY69" s="15"/>
      <c r="GE69" s="15"/>
      <c r="GK69" s="15"/>
      <c r="GQ69" s="15"/>
      <c r="GW69" s="15"/>
      <c r="HV69" s="2"/>
      <c r="HW69" s="2"/>
      <c r="HX69" s="2"/>
      <c r="HY69" s="2"/>
      <c r="HZ69" s="2"/>
      <c r="IA69" s="2"/>
      <c r="IB69" s="2"/>
      <c r="IC69" s="2"/>
      <c r="ID69" s="2"/>
      <c r="IE69" s="2"/>
      <c r="IF69" s="2"/>
      <c r="IG69" s="2"/>
      <c r="IH69" s="2"/>
      <c r="II69" s="2"/>
      <c r="IJ69" s="2"/>
      <c r="IK69" s="2"/>
      <c r="IL69" s="2"/>
      <c r="IM69" s="2"/>
      <c r="IN69" s="3"/>
      <c r="IO69" s="2"/>
      <c r="IP69" s="2"/>
      <c r="IQ69" s="2"/>
      <c r="IR69" s="2"/>
      <c r="IS69" s="2"/>
      <c r="IT69" s="2"/>
      <c r="IU69" s="2"/>
      <c r="IV69" s="2"/>
      <c r="IW69" s="2"/>
      <c r="IX69" s="2"/>
      <c r="IY69" s="2"/>
      <c r="IZ69" s="2"/>
      <c r="JA69" s="2"/>
      <c r="JB69" s="2"/>
      <c r="JC69" s="2"/>
      <c r="JD69" s="2"/>
      <c r="JE69" s="2"/>
    </row>
    <row r="70" spans="1:519" ht="14.4" hidden="1" customHeight="1" x14ac:dyDescent="0.3">
      <c r="A70" s="462" t="s">
        <v>246</v>
      </c>
      <c r="B70" s="395">
        <f t="shared" ref="B70:AG70" si="32">AVERAGEIFS($B51:$YS51,$B$60:$YS$60,RIGHT(LEFT(B$61,2),1),$B$59:$YS$59,RIGHT(B$61,4))</f>
        <v>543.17200000000003</v>
      </c>
      <c r="C70" s="395">
        <f t="shared" si="32"/>
        <v>923.68899999999996</v>
      </c>
      <c r="D70" s="395">
        <f t="shared" si="32"/>
        <v>809.81799999999987</v>
      </c>
      <c r="E70" s="395">
        <f t="shared" si="32"/>
        <v>608.79</v>
      </c>
      <c r="F70" s="395">
        <f t="shared" si="32"/>
        <v>568.74899999999991</v>
      </c>
      <c r="G70" s="395">
        <f t="shared" si="32"/>
        <v>638.20699999999999</v>
      </c>
      <c r="H70" s="395">
        <f t="shared" si="32"/>
        <v>649.91200000000003</v>
      </c>
      <c r="I70" s="395">
        <f t="shared" si="32"/>
        <v>637.14099999999996</v>
      </c>
      <c r="J70" s="395">
        <f t="shared" si="32"/>
        <v>771.14499999999998</v>
      </c>
      <c r="K70" s="395">
        <f t="shared" si="32"/>
        <v>749.8359999999999</v>
      </c>
      <c r="L70" s="395">
        <f t="shared" si="32"/>
        <v>659.43999999999994</v>
      </c>
      <c r="M70" s="395">
        <f t="shared" si="32"/>
        <v>495.55500000000001</v>
      </c>
      <c r="N70" s="395">
        <f t="shared" si="32"/>
        <v>431.19</v>
      </c>
      <c r="O70" s="395">
        <f t="shared" si="32"/>
        <v>545.18099999999993</v>
      </c>
      <c r="P70" s="395">
        <f t="shared" si="32"/>
        <v>573.81200000000001</v>
      </c>
      <c r="Q70" s="395">
        <f t="shared" si="32"/>
        <v>547.57799999999997</v>
      </c>
      <c r="R70" s="395">
        <f t="shared" si="32"/>
        <v>288.45800000000003</v>
      </c>
      <c r="S70" s="395">
        <f t="shared" si="32"/>
        <v>264.041</v>
      </c>
      <c r="T70" s="395">
        <f t="shared" si="32"/>
        <v>453.11700000000002</v>
      </c>
      <c r="U70" s="395">
        <f t="shared" si="32"/>
        <v>563.68899999999996</v>
      </c>
      <c r="V70" s="395">
        <f t="shared" si="32"/>
        <v>564.726</v>
      </c>
      <c r="W70" s="395">
        <f t="shared" si="32"/>
        <v>779.64400000000012</v>
      </c>
      <c r="X70" s="395">
        <f t="shared" si="32"/>
        <v>831.72899999999993</v>
      </c>
      <c r="Y70" s="395">
        <f t="shared" si="32"/>
        <v>531.01700000000005</v>
      </c>
      <c r="Z70" s="395">
        <f t="shared" si="32"/>
        <v>464.18199999999996</v>
      </c>
      <c r="AA70" s="395">
        <f t="shared" si="32"/>
        <v>415.26000000000005</v>
      </c>
      <c r="AB70" s="395">
        <f t="shared" si="32"/>
        <v>414.60400000000004</v>
      </c>
      <c r="AC70" s="395">
        <f t="shared" si="32"/>
        <v>413.14799999999997</v>
      </c>
      <c r="AD70" s="395">
        <f t="shared" si="32"/>
        <v>380.23800000000006</v>
      </c>
      <c r="AE70" s="395">
        <f t="shared" si="32"/>
        <v>383.86800000000011</v>
      </c>
      <c r="AF70" s="395">
        <f t="shared" si="32"/>
        <v>534.11</v>
      </c>
      <c r="AG70" s="395">
        <f t="shared" si="32"/>
        <v>824.774</v>
      </c>
      <c r="AH70" s="395">
        <f t="shared" ref="AH70:BB70" si="33">AVERAGEIFS($B51:$YS51,$B$60:$YS$60,RIGHT(LEFT(AH$61,2),1),$B$59:$YS$59,RIGHT(AH$61,4))</f>
        <v>1383.425</v>
      </c>
      <c r="AI70" s="395">
        <f t="shared" si="33"/>
        <v>2283.8539999999998</v>
      </c>
      <c r="AJ70" s="395">
        <f t="shared" si="33"/>
        <v>4356.067</v>
      </c>
      <c r="AK70" s="395">
        <f t="shared" si="33"/>
        <v>4644.7670000000007</v>
      </c>
      <c r="AL70" s="395">
        <f t="shared" si="33"/>
        <v>5065.9619999999995</v>
      </c>
      <c r="AM70" s="395">
        <f t="shared" si="33"/>
        <v>3233.7389999999996</v>
      </c>
      <c r="AN70" s="395">
        <f t="shared" si="33"/>
        <v>1891.857</v>
      </c>
      <c r="AO70" s="395">
        <f t="shared" si="33"/>
        <v>1735.4950000000001</v>
      </c>
      <c r="AP70" s="395">
        <f t="shared" si="33"/>
        <v>1957</v>
      </c>
      <c r="AQ70" s="395">
        <f t="shared" si="33"/>
        <v>3070.1689999999999</v>
      </c>
      <c r="AR70" s="395">
        <f t="shared" si="33"/>
        <v>4275.4794999999995</v>
      </c>
      <c r="AS70" s="395">
        <f t="shared" si="33"/>
        <v>11735.78</v>
      </c>
      <c r="AT70" s="395">
        <f t="shared" si="33"/>
        <v>11735.78</v>
      </c>
      <c r="AU70" s="395">
        <f t="shared" si="33"/>
        <v>11735.78</v>
      </c>
      <c r="AV70" s="395">
        <f t="shared" si="33"/>
        <v>11735.78</v>
      </c>
      <c r="AW70" s="395">
        <f t="shared" si="33"/>
        <v>11735.78</v>
      </c>
      <c r="AX70" s="395">
        <f t="shared" si="33"/>
        <v>11735.78</v>
      </c>
      <c r="AY70" s="395">
        <f t="shared" si="33"/>
        <v>11735.78</v>
      </c>
      <c r="AZ70" s="395">
        <f t="shared" si="33"/>
        <v>11735.78</v>
      </c>
      <c r="BA70" s="395">
        <f t="shared" si="33"/>
        <v>11735.78</v>
      </c>
      <c r="BB70" s="396">
        <f t="shared" si="33"/>
        <v>11735.78</v>
      </c>
      <c r="BC70" s="418"/>
      <c r="BD70" s="418"/>
      <c r="BE70" s="418"/>
      <c r="BF70" s="418"/>
      <c r="BG70" s="418"/>
      <c r="BH70" s="418"/>
      <c r="BI70" s="418"/>
      <c r="BJ70" s="418"/>
      <c r="BK70" s="418"/>
      <c r="BL70" s="418"/>
      <c r="BM70" s="418"/>
      <c r="BN70" s="418"/>
      <c r="BO70" s="418"/>
      <c r="BP70" s="418"/>
      <c r="BQ70" s="418"/>
      <c r="BR70" s="418"/>
      <c r="BS70" s="418"/>
      <c r="FY70" s="15"/>
      <c r="GE70" s="15"/>
      <c r="GK70" s="15"/>
      <c r="GQ70" s="15"/>
      <c r="GW70" s="15"/>
      <c r="HV70" s="2"/>
      <c r="HW70" s="2"/>
      <c r="HX70" s="2"/>
      <c r="HY70" s="2"/>
      <c r="HZ70" s="2"/>
      <c r="IA70" s="2"/>
      <c r="IB70" s="2"/>
      <c r="IC70" s="2"/>
      <c r="ID70" s="2"/>
      <c r="IE70" s="2"/>
      <c r="IF70" s="2"/>
      <c r="IG70" s="2"/>
      <c r="IH70" s="2"/>
      <c r="II70" s="2"/>
      <c r="IJ70" s="2"/>
      <c r="IK70" s="2"/>
      <c r="IL70" s="2"/>
      <c r="IM70" s="2"/>
      <c r="IN70" s="3"/>
      <c r="IO70" s="2"/>
      <c r="IP70" s="2"/>
      <c r="IQ70" s="2"/>
      <c r="IR70" s="2"/>
      <c r="IS70" s="2"/>
      <c r="IT70" s="2"/>
      <c r="IU70" s="2"/>
      <c r="IV70" s="2"/>
      <c r="IW70" s="2"/>
      <c r="IX70" s="2"/>
      <c r="IY70" s="2"/>
      <c r="IZ70" s="2"/>
      <c r="JA70" s="2"/>
      <c r="JB70" s="2"/>
      <c r="JC70" s="2"/>
      <c r="JD70" s="2"/>
      <c r="JE70" s="2"/>
    </row>
    <row r="71" spans="1:519" ht="14.4" hidden="1" customHeight="1" x14ac:dyDescent="0.3">
      <c r="A71" s="462" t="s">
        <v>247</v>
      </c>
      <c r="B71" s="392">
        <f t="shared" ref="B71:AG71" si="34">AVERAGEIFS($B53:$YS53,$B$60:$YS$60,RIGHT(LEFT(B$61,2),1),$B$59:$YS$59,RIGHT(B$61,4))</f>
        <v>5952.6660000000002</v>
      </c>
      <c r="C71" s="392">
        <f t="shared" si="34"/>
        <v>5877.2609999999995</v>
      </c>
      <c r="D71" s="392">
        <f t="shared" si="34"/>
        <v>5500.7460000000001</v>
      </c>
      <c r="E71" s="392">
        <f t="shared" si="34"/>
        <v>5724.5070000000014</v>
      </c>
      <c r="F71" s="392">
        <f t="shared" si="34"/>
        <v>6052.9769999999999</v>
      </c>
      <c r="G71" s="392">
        <f t="shared" si="34"/>
        <v>5956.887999999999</v>
      </c>
      <c r="H71" s="392">
        <f t="shared" si="34"/>
        <v>6544.6860000000006</v>
      </c>
      <c r="I71" s="392">
        <f t="shared" si="34"/>
        <v>7370.4880000000003</v>
      </c>
      <c r="J71" s="392">
        <f t="shared" si="34"/>
        <v>8280.2970000000005</v>
      </c>
      <c r="K71" s="392">
        <f t="shared" si="34"/>
        <v>8836.8030000000017</v>
      </c>
      <c r="L71" s="392">
        <f t="shared" si="34"/>
        <v>9836.2070000000003</v>
      </c>
      <c r="M71" s="392">
        <f t="shared" si="34"/>
        <v>11570.453999999998</v>
      </c>
      <c r="N71" s="392">
        <f t="shared" si="34"/>
        <v>12700.553</v>
      </c>
      <c r="O71" s="392">
        <f t="shared" si="34"/>
        <v>13110.921</v>
      </c>
      <c r="P71" s="392">
        <f t="shared" si="34"/>
        <v>12231.229999999998</v>
      </c>
      <c r="Q71" s="392">
        <f t="shared" si="34"/>
        <v>12878.258999999998</v>
      </c>
      <c r="R71" s="392">
        <f t="shared" si="34"/>
        <v>7857.0770000000002</v>
      </c>
      <c r="S71" s="392">
        <f t="shared" si="34"/>
        <v>6970.174</v>
      </c>
      <c r="T71" s="392">
        <f t="shared" si="34"/>
        <v>7297.7589999999991</v>
      </c>
      <c r="U71" s="392">
        <f t="shared" si="34"/>
        <v>8572.4969999999994</v>
      </c>
      <c r="V71" s="392">
        <f t="shared" si="34"/>
        <v>9304.8989999999994</v>
      </c>
      <c r="W71" s="392">
        <f t="shared" si="34"/>
        <v>9300.1929999999993</v>
      </c>
      <c r="X71" s="392">
        <f t="shared" si="34"/>
        <v>8337.9719999999998</v>
      </c>
      <c r="Y71" s="392">
        <f t="shared" si="34"/>
        <v>8120.8980000000001</v>
      </c>
      <c r="Z71" s="392">
        <f t="shared" si="34"/>
        <v>7099.9260000000004</v>
      </c>
      <c r="AA71" s="392">
        <f t="shared" si="34"/>
        <v>6566.7370000000001</v>
      </c>
      <c r="AB71" s="392">
        <f t="shared" si="34"/>
        <v>5854.6109999999999</v>
      </c>
      <c r="AC71" s="392">
        <f t="shared" si="34"/>
        <v>5792.561999999999</v>
      </c>
      <c r="AD71" s="392">
        <f t="shared" si="34"/>
        <v>5885.1000000000013</v>
      </c>
      <c r="AE71" s="392">
        <f t="shared" si="34"/>
        <v>5967.05</v>
      </c>
      <c r="AF71" s="392">
        <f t="shared" si="34"/>
        <v>5289.7020000000002</v>
      </c>
      <c r="AG71" s="392">
        <f t="shared" si="34"/>
        <v>5430.8069999999998</v>
      </c>
      <c r="AH71" s="392">
        <f t="shared" ref="AH71:BB71" si="35">AVERAGEIFS($B53:$YS53,$B$60:$YS$60,RIGHT(LEFT(AH$61,2),1),$B$59:$YS$59,RIGHT(AH$61,4))</f>
        <v>5917.8300000000008</v>
      </c>
      <c r="AI71" s="392">
        <f t="shared" si="35"/>
        <v>5693.43</v>
      </c>
      <c r="AJ71" s="392">
        <f t="shared" si="35"/>
        <v>5393.4990000000007</v>
      </c>
      <c r="AK71" s="392">
        <f t="shared" si="35"/>
        <v>6018.4049999999997</v>
      </c>
      <c r="AL71" s="392">
        <f t="shared" si="35"/>
        <v>6446.3919999999998</v>
      </c>
      <c r="AM71" s="392">
        <f t="shared" si="35"/>
        <v>7717.3849999999993</v>
      </c>
      <c r="AN71" s="392">
        <f t="shared" si="35"/>
        <v>7283.0849999999991</v>
      </c>
      <c r="AO71" s="392">
        <f t="shared" si="35"/>
        <v>7293.8779999999997</v>
      </c>
      <c r="AP71" s="392">
        <f t="shared" si="35"/>
        <v>7812.0559999999996</v>
      </c>
      <c r="AQ71" s="392">
        <f t="shared" si="35"/>
        <v>8326.2609999999986</v>
      </c>
      <c r="AR71" s="392">
        <f t="shared" si="35"/>
        <v>8187.9760000000006</v>
      </c>
      <c r="AS71" s="392">
        <f t="shared" si="35"/>
        <v>8879.9519999999993</v>
      </c>
      <c r="AT71" s="392">
        <f t="shared" si="35"/>
        <v>8879.9519999999993</v>
      </c>
      <c r="AU71" s="392">
        <f t="shared" si="35"/>
        <v>8879.9519999999993</v>
      </c>
      <c r="AV71" s="392">
        <f t="shared" si="35"/>
        <v>8879.9519999999993</v>
      </c>
      <c r="AW71" s="392">
        <f t="shared" si="35"/>
        <v>8879.9519999999993</v>
      </c>
      <c r="AX71" s="392">
        <f t="shared" si="35"/>
        <v>8879.9519999999993</v>
      </c>
      <c r="AY71" s="392">
        <f t="shared" si="35"/>
        <v>8879.9519999999993</v>
      </c>
      <c r="AZ71" s="392">
        <f t="shared" si="35"/>
        <v>8879.9519999999993</v>
      </c>
      <c r="BA71" s="392">
        <f t="shared" si="35"/>
        <v>8879.9519999999993</v>
      </c>
      <c r="BB71" s="393">
        <f t="shared" si="35"/>
        <v>8879.9519999999993</v>
      </c>
      <c r="BC71" s="418"/>
      <c r="BD71" s="418"/>
      <c r="BE71" s="418"/>
      <c r="BF71" s="418"/>
      <c r="BG71" s="418"/>
      <c r="BH71" s="418"/>
      <c r="BI71" s="418"/>
      <c r="BJ71" s="418"/>
      <c r="BK71" s="418"/>
      <c r="BL71" s="418"/>
      <c r="BM71" s="418"/>
      <c r="BN71" s="418"/>
      <c r="BO71" s="418"/>
      <c r="BP71" s="418"/>
      <c r="BQ71" s="418"/>
      <c r="BR71" s="418"/>
      <c r="BS71" s="418"/>
      <c r="FY71" s="15"/>
      <c r="GE71" s="15"/>
      <c r="GK71" s="15"/>
      <c r="GQ71" s="15"/>
      <c r="GW71" s="15"/>
      <c r="HV71" s="2"/>
      <c r="HW71" s="2"/>
      <c r="HX71" s="2"/>
      <c r="HY71" s="2"/>
      <c r="HZ71" s="2"/>
      <c r="IA71" s="2"/>
      <c r="IB71" s="2"/>
      <c r="IC71" s="2"/>
      <c r="ID71" s="2"/>
      <c r="IE71" s="2"/>
      <c r="IF71" s="2"/>
      <c r="IG71" s="2"/>
      <c r="IH71" s="2"/>
      <c r="II71" s="2"/>
      <c r="IJ71" s="2"/>
      <c r="IK71" s="2"/>
      <c r="IL71" s="2"/>
      <c r="IM71" s="2"/>
      <c r="IN71" s="3"/>
      <c r="IO71" s="2"/>
      <c r="IP71" s="2"/>
      <c r="IQ71" s="2"/>
      <c r="IR71" s="2"/>
      <c r="IS71" s="2"/>
      <c r="IT71" s="2"/>
      <c r="IU71" s="2"/>
      <c r="IV71" s="2"/>
      <c r="IW71" s="2"/>
      <c r="IX71" s="2"/>
      <c r="IY71" s="2"/>
      <c r="IZ71" s="2"/>
      <c r="JA71" s="2"/>
      <c r="JB71" s="2"/>
      <c r="JC71" s="2"/>
      <c r="JD71" s="2"/>
      <c r="JE71" s="2"/>
    </row>
    <row r="72" spans="1:519" ht="14.4" hidden="1" customHeight="1" x14ac:dyDescent="0.3">
      <c r="A72" s="462" t="s">
        <v>248</v>
      </c>
      <c r="B72" s="395">
        <f t="shared" ref="B72:AG72" si="36">AVERAGEIFS($B54:$YS54,$B$60:$YS$60,RIGHT(LEFT(B$61,2),1),$B$59:$YS$59,RIGHT(B$61,4))</f>
        <v>604.74400000000003</v>
      </c>
      <c r="C72" s="395">
        <f t="shared" si="36"/>
        <v>613.56299999999999</v>
      </c>
      <c r="D72" s="395">
        <f t="shared" si="36"/>
        <v>566.42700000000002</v>
      </c>
      <c r="E72" s="395">
        <f t="shared" si="36"/>
        <v>562.28199999999993</v>
      </c>
      <c r="F72" s="395">
        <f t="shared" si="36"/>
        <v>555.80700000000002</v>
      </c>
      <c r="G72" s="395">
        <f t="shared" si="36"/>
        <v>573.16600000000005</v>
      </c>
      <c r="H72" s="395">
        <f t="shared" si="36"/>
        <v>558.46600000000001</v>
      </c>
      <c r="I72" s="395">
        <f t="shared" si="36"/>
        <v>582.64400000000001</v>
      </c>
      <c r="J72" s="395">
        <f t="shared" si="36"/>
        <v>663.35</v>
      </c>
      <c r="K72" s="395">
        <f t="shared" si="36"/>
        <v>680.93899999999996</v>
      </c>
      <c r="L72" s="395">
        <f t="shared" si="36"/>
        <v>642.76800000000003</v>
      </c>
      <c r="M72" s="395">
        <f t="shared" si="36"/>
        <v>698.23700000000008</v>
      </c>
      <c r="N72" s="395">
        <f t="shared" si="36"/>
        <v>694.28499999999997</v>
      </c>
      <c r="O72" s="395">
        <f t="shared" si="36"/>
        <v>710.59099999999989</v>
      </c>
      <c r="P72" s="395">
        <f t="shared" si="36"/>
        <v>677.68700000000001</v>
      </c>
      <c r="Q72" s="395">
        <f t="shared" si="36"/>
        <v>759.79199999999992</v>
      </c>
      <c r="R72" s="395">
        <f t="shared" si="36"/>
        <v>713.36099999999999</v>
      </c>
      <c r="S72" s="395">
        <f t="shared" si="36"/>
        <v>841.6</v>
      </c>
      <c r="T72" s="395">
        <f t="shared" si="36"/>
        <v>762.31100000000004</v>
      </c>
      <c r="U72" s="395">
        <f t="shared" si="36"/>
        <v>809.24200000000008</v>
      </c>
      <c r="V72" s="395">
        <f t="shared" si="36"/>
        <v>728.37900000000002</v>
      </c>
      <c r="W72" s="395">
        <f t="shared" si="36"/>
        <v>901.50799999999992</v>
      </c>
      <c r="X72" s="395">
        <f t="shared" si="36"/>
        <v>824.36999999999989</v>
      </c>
      <c r="Y72" s="395">
        <f t="shared" si="36"/>
        <v>907.28099999999995</v>
      </c>
      <c r="Z72" s="395">
        <f t="shared" si="36"/>
        <v>904.01200000000006</v>
      </c>
      <c r="AA72" s="395">
        <f t="shared" si="36"/>
        <v>1032.636</v>
      </c>
      <c r="AB72" s="395">
        <f t="shared" si="36"/>
        <v>812.10399999999993</v>
      </c>
      <c r="AC72" s="395">
        <f t="shared" si="36"/>
        <v>712.78699999999992</v>
      </c>
      <c r="AD72" s="395">
        <f t="shared" si="36"/>
        <v>597.11800000000005</v>
      </c>
      <c r="AE72" s="395">
        <f t="shared" si="36"/>
        <v>613.43700000000001</v>
      </c>
      <c r="AF72" s="395">
        <f t="shared" si="36"/>
        <v>525.69500000000005</v>
      </c>
      <c r="AG72" s="395">
        <f t="shared" si="36"/>
        <v>529.16200000000003</v>
      </c>
      <c r="AH72" s="395">
        <f t="shared" ref="AH72:BB72" si="37">AVERAGEIFS($B54:$YS54,$B$60:$YS$60,RIGHT(LEFT(AH$61,2),1),$B$59:$YS$59,RIGHT(AH$61,4))</f>
        <v>477.096</v>
      </c>
      <c r="AI72" s="395">
        <f t="shared" si="37"/>
        <v>555.16500000000008</v>
      </c>
      <c r="AJ72" s="395">
        <f t="shared" si="37"/>
        <v>578.34</v>
      </c>
      <c r="AK72" s="395">
        <f t="shared" si="37"/>
        <v>634.87800000000004</v>
      </c>
      <c r="AL72" s="395">
        <f t="shared" si="37"/>
        <v>593.55900000000008</v>
      </c>
      <c r="AM72" s="395">
        <f t="shared" si="37"/>
        <v>690.64700000000005</v>
      </c>
      <c r="AN72" s="395">
        <f t="shared" si="37"/>
        <v>599.83199999999999</v>
      </c>
      <c r="AO72" s="395">
        <f t="shared" si="37"/>
        <v>599.06200000000001</v>
      </c>
      <c r="AP72" s="395">
        <f t="shared" si="37"/>
        <v>645.25400000000002</v>
      </c>
      <c r="AQ72" s="395">
        <f t="shared" si="37"/>
        <v>729.52499999999998</v>
      </c>
      <c r="AR72" s="395">
        <f t="shared" si="37"/>
        <v>893.90649999999994</v>
      </c>
      <c r="AS72" s="395">
        <f t="shared" si="37"/>
        <v>1171.808</v>
      </c>
      <c r="AT72" s="395">
        <f t="shared" si="37"/>
        <v>1171.808</v>
      </c>
      <c r="AU72" s="395">
        <f t="shared" si="37"/>
        <v>1171.808</v>
      </c>
      <c r="AV72" s="395">
        <f t="shared" si="37"/>
        <v>1171.808</v>
      </c>
      <c r="AW72" s="395">
        <f t="shared" si="37"/>
        <v>1171.808</v>
      </c>
      <c r="AX72" s="395">
        <f t="shared" si="37"/>
        <v>1171.808</v>
      </c>
      <c r="AY72" s="395">
        <f t="shared" si="37"/>
        <v>1171.808</v>
      </c>
      <c r="AZ72" s="395">
        <f t="shared" si="37"/>
        <v>1171.808</v>
      </c>
      <c r="BA72" s="395">
        <f t="shared" si="37"/>
        <v>1171.808</v>
      </c>
      <c r="BB72" s="396">
        <f t="shared" si="37"/>
        <v>1171.808</v>
      </c>
      <c r="BC72" s="418"/>
      <c r="BD72" s="418"/>
      <c r="BE72" s="418"/>
      <c r="BF72" s="418"/>
      <c r="BG72" s="418"/>
      <c r="BH72" s="418"/>
      <c r="BI72" s="418"/>
      <c r="BJ72" s="418"/>
      <c r="BK72" s="418"/>
      <c r="BL72" s="418"/>
      <c r="BM72" s="418"/>
      <c r="BN72" s="418"/>
      <c r="BO72" s="418"/>
      <c r="BP72" s="418"/>
      <c r="BQ72" s="418"/>
      <c r="BR72" s="418"/>
      <c r="BS72" s="418"/>
      <c r="FY72" s="15"/>
      <c r="GE72" s="15"/>
      <c r="GK72" s="15"/>
      <c r="GQ72" s="15"/>
      <c r="GW72" s="15"/>
      <c r="HV72" s="2"/>
      <c r="HW72" s="2"/>
      <c r="HX72" s="2"/>
      <c r="HY72" s="2"/>
      <c r="HZ72" s="2"/>
      <c r="IA72" s="2"/>
      <c r="IB72" s="2"/>
      <c r="IC72" s="2"/>
      <c r="ID72" s="2"/>
      <c r="IE72" s="2"/>
      <c r="IF72" s="2"/>
      <c r="IG72" s="2"/>
      <c r="IH72" s="2"/>
      <c r="II72" s="2"/>
      <c r="IJ72" s="2"/>
      <c r="IK72" s="2"/>
      <c r="IL72" s="2"/>
      <c r="IM72" s="2"/>
      <c r="IN72" s="3"/>
      <c r="IO72" s="2"/>
      <c r="IP72" s="2"/>
      <c r="IQ72" s="2"/>
      <c r="IR72" s="2"/>
      <c r="IS72" s="2"/>
      <c r="IT72" s="2"/>
      <c r="IU72" s="2"/>
      <c r="IV72" s="2"/>
      <c r="IW72" s="2"/>
      <c r="IX72" s="2"/>
      <c r="IY72" s="2"/>
      <c r="IZ72" s="2"/>
      <c r="JA72" s="2"/>
      <c r="JB72" s="2"/>
      <c r="JC72" s="2"/>
      <c r="JD72" s="2"/>
      <c r="JE72" s="2"/>
    </row>
    <row r="73" spans="1:519" ht="14.4" hidden="1" customHeight="1" x14ac:dyDescent="0.3">
      <c r="A73" s="462" t="s">
        <v>10</v>
      </c>
      <c r="B73" s="392">
        <f t="shared" ref="B73:AG73" si="38">AVERAGEIFS($B84:$YS84,$B$60:$YS$60,RIGHT(LEFT(B$61,2),1),$B$59:$YS$59,RIGHT(B$61,4))</f>
        <v>530.96100000000013</v>
      </c>
      <c r="C73" s="392">
        <f t="shared" si="38"/>
        <v>677.61699999999985</v>
      </c>
      <c r="D73" s="392">
        <f t="shared" si="38"/>
        <v>398.70800000000003</v>
      </c>
      <c r="E73" s="392">
        <f t="shared" si="38"/>
        <v>529.72500000000002</v>
      </c>
      <c r="F73" s="392">
        <f t="shared" si="38"/>
        <v>462.036</v>
      </c>
      <c r="G73" s="392">
        <f t="shared" si="38"/>
        <v>510.59800000000001</v>
      </c>
      <c r="H73" s="392">
        <f t="shared" si="38"/>
        <v>539.75299999999993</v>
      </c>
      <c r="I73" s="392">
        <f t="shared" si="38"/>
        <v>823.44500000000005</v>
      </c>
      <c r="J73" s="392">
        <f t="shared" si="38"/>
        <v>758.21999999999991</v>
      </c>
      <c r="K73" s="392">
        <f t="shared" si="38"/>
        <v>875.77999999999986</v>
      </c>
      <c r="L73" s="392">
        <f t="shared" si="38"/>
        <v>791.9430000000001</v>
      </c>
      <c r="M73" s="392">
        <f t="shared" si="38"/>
        <v>1184.18</v>
      </c>
      <c r="N73" s="392">
        <f t="shared" si="38"/>
        <v>1218.2569999999998</v>
      </c>
      <c r="O73" s="392">
        <f t="shared" si="38"/>
        <v>1875.441</v>
      </c>
      <c r="P73" s="392">
        <f t="shared" si="38"/>
        <v>2162.2240000000002</v>
      </c>
      <c r="Q73" s="392">
        <f t="shared" si="38"/>
        <v>2951.636</v>
      </c>
      <c r="R73" s="392">
        <f t="shared" si="38"/>
        <v>1884.3789999999999</v>
      </c>
      <c r="S73" s="392">
        <f t="shared" si="38"/>
        <v>2794.9510000000005</v>
      </c>
      <c r="T73" s="392">
        <f t="shared" si="38"/>
        <v>2914.1800000000003</v>
      </c>
      <c r="U73" s="392">
        <f t="shared" si="38"/>
        <v>3598.2200000000007</v>
      </c>
      <c r="V73" s="392">
        <f t="shared" si="38"/>
        <v>3267.846</v>
      </c>
      <c r="W73" s="392">
        <f t="shared" si="38"/>
        <v>4054.777</v>
      </c>
      <c r="X73" s="392">
        <f t="shared" si="38"/>
        <v>3852.9979999999996</v>
      </c>
      <c r="Y73" s="392">
        <f t="shared" si="38"/>
        <v>3245.4679999999994</v>
      </c>
      <c r="Z73" s="392">
        <f t="shared" si="38"/>
        <v>2232.2670000000003</v>
      </c>
      <c r="AA73" s="392">
        <f t="shared" si="38"/>
        <v>2573.56</v>
      </c>
      <c r="AB73" s="392">
        <f t="shared" si="38"/>
        <v>2203.3029999999999</v>
      </c>
      <c r="AC73" s="392">
        <f t="shared" si="38"/>
        <v>2297.7199999999998</v>
      </c>
      <c r="AD73" s="392">
        <f t="shared" si="38"/>
        <v>1746.5439999999999</v>
      </c>
      <c r="AE73" s="392">
        <f t="shared" si="38"/>
        <v>2053.5030000000002</v>
      </c>
      <c r="AF73" s="392">
        <f t="shared" si="38"/>
        <v>1726.21</v>
      </c>
      <c r="AG73" s="392">
        <f t="shared" si="38"/>
        <v>2145.5239999999999</v>
      </c>
      <c r="AH73" s="392">
        <f t="shared" ref="AH73:BB73" si="39">AVERAGEIFS($B84:$YS84,$B$60:$YS$60,RIGHT(LEFT(AH$61,2),1),$B$59:$YS$59,RIGHT(AH$61,4))</f>
        <v>1984.6449999999998</v>
      </c>
      <c r="AI73" s="392">
        <f t="shared" si="39"/>
        <v>2411.855</v>
      </c>
      <c r="AJ73" s="392">
        <f t="shared" si="39"/>
        <v>2563.9089999999997</v>
      </c>
      <c r="AK73" s="392">
        <f t="shared" si="39"/>
        <v>2790.9670000000001</v>
      </c>
      <c r="AL73" s="392">
        <f t="shared" si="39"/>
        <v>2926.5820000000003</v>
      </c>
      <c r="AM73" s="392">
        <f t="shared" si="39"/>
        <v>3597.9879999999998</v>
      </c>
      <c r="AN73" s="392">
        <f t="shared" si="39"/>
        <v>3111.4740000000002</v>
      </c>
      <c r="AO73" s="392">
        <f t="shared" si="39"/>
        <v>4106.4570000000003</v>
      </c>
      <c r="AP73" s="392">
        <f t="shared" si="39"/>
        <v>4232.8189999999995</v>
      </c>
      <c r="AQ73" s="392">
        <f t="shared" si="39"/>
        <v>4949.0060000000003</v>
      </c>
      <c r="AR73" s="392">
        <f t="shared" si="39"/>
        <v>4121.8534999999993</v>
      </c>
      <c r="AS73" s="392">
        <f t="shared" si="39"/>
        <v>4630.7839999999997</v>
      </c>
      <c r="AT73" s="392">
        <f t="shared" si="39"/>
        <v>4630.7839999999997</v>
      </c>
      <c r="AU73" s="392">
        <f t="shared" si="39"/>
        <v>4630.7839999999997</v>
      </c>
      <c r="AV73" s="392">
        <f t="shared" si="39"/>
        <v>4630.7839999999997</v>
      </c>
      <c r="AW73" s="392">
        <f t="shared" si="39"/>
        <v>4630.7839999999997</v>
      </c>
      <c r="AX73" s="392">
        <f t="shared" si="39"/>
        <v>4630.7839999999997</v>
      </c>
      <c r="AY73" s="392">
        <f t="shared" si="39"/>
        <v>4630.7839999999997</v>
      </c>
      <c r="AZ73" s="392">
        <f t="shared" si="39"/>
        <v>4630.7839999999997</v>
      </c>
      <c r="BA73" s="392">
        <f t="shared" si="39"/>
        <v>4630.7839999999997</v>
      </c>
      <c r="BB73" s="393">
        <f t="shared" si="39"/>
        <v>4630.7839999999997</v>
      </c>
      <c r="BC73" s="418"/>
      <c r="BD73" s="418"/>
      <c r="BE73" s="418"/>
      <c r="BF73" s="418"/>
      <c r="BG73" s="418"/>
      <c r="BH73" s="418"/>
      <c r="BI73" s="418"/>
      <c r="BJ73" s="418"/>
      <c r="BK73" s="418"/>
      <c r="BL73" s="418"/>
      <c r="BM73" s="418"/>
      <c r="BN73" s="418"/>
      <c r="BO73" s="418"/>
      <c r="BP73" s="418"/>
      <c r="BQ73" s="418"/>
      <c r="BR73" s="418"/>
      <c r="BS73" s="418"/>
      <c r="FY73" s="15"/>
      <c r="GE73" s="15"/>
      <c r="GK73" s="15"/>
      <c r="GQ73" s="15"/>
      <c r="GW73" s="15"/>
      <c r="HV73" s="2"/>
      <c r="HW73" s="2"/>
      <c r="HX73" s="2"/>
      <c r="HY73" s="2"/>
      <c r="HZ73" s="2"/>
      <c r="IA73" s="2"/>
      <c r="IB73" s="2"/>
      <c r="IC73" s="2"/>
      <c r="ID73" s="2"/>
      <c r="IE73" s="2"/>
      <c r="IF73" s="2"/>
      <c r="IG73" s="2"/>
      <c r="IH73" s="2"/>
      <c r="II73" s="2"/>
      <c r="IJ73" s="2"/>
      <c r="IK73" s="2"/>
      <c r="IL73" s="2"/>
      <c r="IM73" s="2"/>
      <c r="IN73" s="3"/>
      <c r="IO73" s="2"/>
      <c r="IP73" s="2"/>
      <c r="IQ73" s="2"/>
      <c r="IR73" s="2"/>
      <c r="IS73" s="2"/>
      <c r="IT73" s="2"/>
      <c r="IU73" s="2"/>
      <c r="IV73" s="2"/>
      <c r="IW73" s="2"/>
      <c r="IX73" s="2"/>
      <c r="IY73" s="2"/>
      <c r="IZ73" s="2"/>
      <c r="JA73" s="2"/>
      <c r="JB73" s="2"/>
      <c r="JC73" s="2"/>
      <c r="JD73" s="2"/>
      <c r="JE73" s="2"/>
    </row>
    <row r="74" spans="1:519" ht="15" hidden="1" customHeight="1" thickBot="1" x14ac:dyDescent="0.35">
      <c r="A74" s="463" t="s">
        <v>93</v>
      </c>
      <c r="B74" s="395">
        <f t="shared" ref="B74:AG74" si="40">AVERAGEIFS($B55:$YS55,$B$60:$YS$60,RIGHT(LEFT(B$61,2),1),$B$59:$YS$59,RIGHT(B$61,4))</f>
        <v>1372.1890000000001</v>
      </c>
      <c r="C74" s="395">
        <f t="shared" si="40"/>
        <v>1416.9579999999999</v>
      </c>
      <c r="D74" s="395">
        <f t="shared" si="40"/>
        <v>1304.2899999999997</v>
      </c>
      <c r="E74" s="395">
        <f t="shared" si="40"/>
        <v>1401.4110000000001</v>
      </c>
      <c r="F74" s="395">
        <f t="shared" si="40"/>
        <v>1242.3549999999998</v>
      </c>
      <c r="G74" s="395">
        <f t="shared" si="40"/>
        <v>1332.72</v>
      </c>
      <c r="H74" s="395">
        <f t="shared" si="40"/>
        <v>1390.1850000000002</v>
      </c>
      <c r="I74" s="395">
        <f t="shared" si="40"/>
        <v>1627.8180000000002</v>
      </c>
      <c r="J74" s="395">
        <f t="shared" si="40"/>
        <v>1644.3760000000002</v>
      </c>
      <c r="K74" s="395">
        <f t="shared" si="40"/>
        <v>1842.8889999999999</v>
      </c>
      <c r="L74" s="395">
        <f t="shared" si="40"/>
        <v>1651.45</v>
      </c>
      <c r="M74" s="395">
        <f t="shared" si="40"/>
        <v>1626.8109999999999</v>
      </c>
      <c r="N74" s="395">
        <f t="shared" si="40"/>
        <v>1632.9769999999999</v>
      </c>
      <c r="O74" s="395">
        <f t="shared" si="40"/>
        <v>1787.932</v>
      </c>
      <c r="P74" s="395">
        <f t="shared" si="40"/>
        <v>1836.0560000000003</v>
      </c>
      <c r="Q74" s="395">
        <f t="shared" si="40"/>
        <v>2145.944</v>
      </c>
      <c r="R74" s="395">
        <f t="shared" si="40"/>
        <v>2061.1849999999999</v>
      </c>
      <c r="S74" s="395">
        <f t="shared" si="40"/>
        <v>1977.134</v>
      </c>
      <c r="T74" s="395">
        <f t="shared" si="40"/>
        <v>2083.2720000000004</v>
      </c>
      <c r="U74" s="395">
        <f t="shared" si="40"/>
        <v>2679.9359999999997</v>
      </c>
      <c r="V74" s="395">
        <f t="shared" si="40"/>
        <v>3024.1589999999997</v>
      </c>
      <c r="W74" s="395">
        <f t="shared" si="40"/>
        <v>3290.1610000000001</v>
      </c>
      <c r="X74" s="395">
        <f t="shared" si="40"/>
        <v>2988.5190000000002</v>
      </c>
      <c r="Y74" s="395">
        <f t="shared" si="40"/>
        <v>2752.3870000000002</v>
      </c>
      <c r="Z74" s="395">
        <f t="shared" si="40"/>
        <v>2634.069</v>
      </c>
      <c r="AA74" s="395">
        <f t="shared" si="40"/>
        <v>2680.011</v>
      </c>
      <c r="AB74" s="395">
        <f t="shared" si="40"/>
        <v>2416.9019999999996</v>
      </c>
      <c r="AC74" s="395">
        <f t="shared" si="40"/>
        <v>2331.5129999999995</v>
      </c>
      <c r="AD74" s="395">
        <f t="shared" si="40"/>
        <v>2022.2589999999998</v>
      </c>
      <c r="AE74" s="395">
        <f t="shared" si="40"/>
        <v>2104.9050000000002</v>
      </c>
      <c r="AF74" s="395">
        <f t="shared" si="40"/>
        <v>1780.0360000000001</v>
      </c>
      <c r="AG74" s="395">
        <f t="shared" si="40"/>
        <v>1682.107</v>
      </c>
      <c r="AH74" s="395">
        <f t="shared" ref="AH74:BB74" si="41">AVERAGEIFS($B55:$YS55,$B$60:$YS$60,RIGHT(LEFT(AH$61,2),1),$B$59:$YS$59,RIGHT(AH$61,4))</f>
        <v>1845.8860000000002</v>
      </c>
      <c r="AI74" s="395">
        <f t="shared" si="41"/>
        <v>2102.3150000000001</v>
      </c>
      <c r="AJ74" s="395">
        <f t="shared" si="41"/>
        <v>2149.453</v>
      </c>
      <c r="AK74" s="395">
        <f t="shared" si="41"/>
        <v>2263.902</v>
      </c>
      <c r="AL74" s="395">
        <f t="shared" si="41"/>
        <v>2242.9349999999999</v>
      </c>
      <c r="AM74" s="395">
        <f t="shared" si="41"/>
        <v>2273.165</v>
      </c>
      <c r="AN74" s="395">
        <f t="shared" si="41"/>
        <v>2283.2289999999998</v>
      </c>
      <c r="AO74" s="395">
        <f t="shared" si="41"/>
        <v>2636.2080000000001</v>
      </c>
      <c r="AP74" s="395">
        <f t="shared" si="41"/>
        <v>2940.3479999999995</v>
      </c>
      <c r="AQ74" s="395">
        <f t="shared" si="41"/>
        <v>2901.7129999999997</v>
      </c>
      <c r="AR74" s="395">
        <f t="shared" si="41"/>
        <v>2586.8995</v>
      </c>
      <c r="AS74" s="395">
        <f t="shared" si="41"/>
        <v>3641.8240000000001</v>
      </c>
      <c r="AT74" s="395">
        <f t="shared" si="41"/>
        <v>3641.8240000000001</v>
      </c>
      <c r="AU74" s="395">
        <f t="shared" si="41"/>
        <v>3641.8240000000001</v>
      </c>
      <c r="AV74" s="395">
        <f t="shared" si="41"/>
        <v>3641.8240000000001</v>
      </c>
      <c r="AW74" s="395">
        <f t="shared" si="41"/>
        <v>3641.8240000000001</v>
      </c>
      <c r="AX74" s="395">
        <f t="shared" si="41"/>
        <v>3641.8240000000001</v>
      </c>
      <c r="AY74" s="395">
        <f t="shared" si="41"/>
        <v>3641.8240000000001</v>
      </c>
      <c r="AZ74" s="395">
        <f t="shared" si="41"/>
        <v>3641.8240000000001</v>
      </c>
      <c r="BA74" s="395">
        <f t="shared" si="41"/>
        <v>3641.8240000000001</v>
      </c>
      <c r="BB74" s="396">
        <f t="shared" si="41"/>
        <v>3641.8240000000001</v>
      </c>
      <c r="BC74" s="418"/>
      <c r="BD74" s="418"/>
      <c r="BE74" s="418"/>
      <c r="BF74" s="418"/>
      <c r="BG74" s="418"/>
      <c r="BH74" s="418"/>
      <c r="BI74" s="418"/>
      <c r="BJ74" s="418"/>
      <c r="BK74" s="418"/>
      <c r="BL74" s="418"/>
      <c r="BM74" s="418"/>
      <c r="BN74" s="418"/>
      <c r="BO74" s="418"/>
      <c r="BP74" s="418"/>
      <c r="BQ74" s="418"/>
      <c r="BR74" s="418"/>
      <c r="BS74" s="418"/>
      <c r="FY74" s="15"/>
      <c r="GE74" s="15"/>
      <c r="GK74" s="15"/>
      <c r="GQ74" s="15"/>
      <c r="GW74" s="15"/>
      <c r="HV74" s="2"/>
      <c r="HW74" s="2"/>
      <c r="HX74" s="2"/>
      <c r="HY74" s="2"/>
      <c r="HZ74" s="2"/>
      <c r="IA74" s="2"/>
      <c r="IB74" s="2"/>
      <c r="IC74" s="2"/>
      <c r="ID74" s="2"/>
      <c r="IE74" s="2"/>
      <c r="IF74" s="2"/>
      <c r="IG74" s="2"/>
      <c r="IH74" s="2"/>
      <c r="II74" s="2"/>
      <c r="IJ74" s="2"/>
      <c r="IK74" s="2"/>
      <c r="IL74" s="2"/>
      <c r="IM74" s="2"/>
      <c r="IN74" s="3"/>
      <c r="IO74" s="2"/>
      <c r="IP74" s="2"/>
      <c r="IQ74" s="2"/>
      <c r="IR74" s="2"/>
      <c r="IS74" s="2"/>
      <c r="IT74" s="2"/>
      <c r="IU74" s="2"/>
      <c r="IV74" s="2"/>
      <c r="IW74" s="2"/>
      <c r="IX74" s="2"/>
      <c r="IY74" s="2"/>
      <c r="IZ74" s="2"/>
      <c r="JA74" s="2"/>
      <c r="JB74" s="2"/>
      <c r="JC74" s="2"/>
      <c r="JD74" s="2"/>
      <c r="JE74" s="2"/>
    </row>
    <row r="75" spans="1:519" ht="15.6" hidden="1" customHeight="1" thickTop="1" thickBot="1" x14ac:dyDescent="0.35">
      <c r="A75" s="404" t="s">
        <v>249</v>
      </c>
      <c r="B75" s="405">
        <f t="shared" ref="B75:AG75" si="42">AVERAGEIFS($B56:$YS56,$B$60:$YS$60,RIGHT(LEFT(B$61,2),1),$B$59:$YS$59,RIGHT(B$61,4))</f>
        <v>42496.531000000003</v>
      </c>
      <c r="C75" s="405">
        <f t="shared" si="42"/>
        <v>43485.984999999993</v>
      </c>
      <c r="D75" s="405">
        <f t="shared" si="42"/>
        <v>41004.012999999999</v>
      </c>
      <c r="E75" s="405">
        <f t="shared" si="42"/>
        <v>42525.872000000003</v>
      </c>
      <c r="F75" s="405">
        <f t="shared" si="42"/>
        <v>43300.659999999996</v>
      </c>
      <c r="G75" s="405">
        <f t="shared" si="42"/>
        <v>44855.865000000013</v>
      </c>
      <c r="H75" s="405">
        <f t="shared" si="42"/>
        <v>47382.135000000002</v>
      </c>
      <c r="I75" s="405">
        <f t="shared" si="42"/>
        <v>49801.031999999999</v>
      </c>
      <c r="J75" s="405">
        <f t="shared" si="42"/>
        <v>50348.795000000006</v>
      </c>
      <c r="K75" s="405">
        <f t="shared" si="42"/>
        <v>54549.157000000007</v>
      </c>
      <c r="L75" s="405">
        <f t="shared" si="42"/>
        <v>57536.317000000003</v>
      </c>
      <c r="M75" s="405">
        <f t="shared" si="42"/>
        <v>61811.008000000002</v>
      </c>
      <c r="N75" s="405">
        <f t="shared" si="42"/>
        <v>63765.168000000005</v>
      </c>
      <c r="O75" s="405">
        <f t="shared" si="42"/>
        <v>66270.289999999994</v>
      </c>
      <c r="P75" s="405">
        <f t="shared" si="42"/>
        <v>67629.021999999997</v>
      </c>
      <c r="Q75" s="405">
        <f t="shared" si="42"/>
        <v>74444.555999999997</v>
      </c>
      <c r="R75" s="405">
        <f t="shared" si="42"/>
        <v>68614.833999999988</v>
      </c>
      <c r="S75" s="405">
        <f t="shared" si="42"/>
        <v>66581.172000000006</v>
      </c>
      <c r="T75" s="405">
        <f t="shared" si="42"/>
        <v>68031.151000000013</v>
      </c>
      <c r="U75" s="405">
        <f t="shared" si="42"/>
        <v>76133.969999999987</v>
      </c>
      <c r="V75" s="405">
        <f t="shared" si="42"/>
        <v>81194.628000000012</v>
      </c>
      <c r="W75" s="405">
        <f t="shared" si="42"/>
        <v>90789.055000000008</v>
      </c>
      <c r="X75" s="405">
        <f t="shared" si="42"/>
        <v>96550.234000000011</v>
      </c>
      <c r="Y75" s="405">
        <f t="shared" si="42"/>
        <v>100640.88900000001</v>
      </c>
      <c r="Z75" s="405">
        <f t="shared" si="42"/>
        <v>102087.946</v>
      </c>
      <c r="AA75" s="405">
        <f t="shared" si="42"/>
        <v>101267.62999999999</v>
      </c>
      <c r="AB75" s="405">
        <f t="shared" si="42"/>
        <v>94849.163</v>
      </c>
      <c r="AC75" s="405">
        <f t="shared" si="42"/>
        <v>95637.781000000003</v>
      </c>
      <c r="AD75" s="405">
        <f t="shared" si="42"/>
        <v>89778.837</v>
      </c>
      <c r="AE75" s="405">
        <f t="shared" si="42"/>
        <v>88636.180999999997</v>
      </c>
      <c r="AF75" s="405">
        <f t="shared" si="42"/>
        <v>83252.853000000003</v>
      </c>
      <c r="AG75" s="405">
        <f t="shared" si="42"/>
        <v>83746.413</v>
      </c>
      <c r="AH75" s="464">
        <f t="shared" ref="AH75:BB75" si="43">AVERAGEIFS($B56:$YS56,$B$60:$YS$60,RIGHT(LEFT(AH$61,2),1),$B$59:$YS$59,RIGHT(AH$61,4))</f>
        <v>85099.854999999996</v>
      </c>
      <c r="AI75" s="405">
        <f t="shared" si="43"/>
        <v>88258.306999999986</v>
      </c>
      <c r="AJ75" s="405">
        <f t="shared" si="43"/>
        <v>91366.697</v>
      </c>
      <c r="AK75" s="405">
        <f t="shared" si="43"/>
        <v>97074.043999999994</v>
      </c>
      <c r="AL75" s="405">
        <f t="shared" si="43"/>
        <v>99481.747000000018</v>
      </c>
      <c r="AM75" s="405">
        <f t="shared" si="43"/>
        <v>104103.27500000001</v>
      </c>
      <c r="AN75" s="405">
        <f t="shared" si="43"/>
        <v>104728.723</v>
      </c>
      <c r="AO75" s="405">
        <f t="shared" si="43"/>
        <v>112064.05800000002</v>
      </c>
      <c r="AP75" s="405">
        <f t="shared" si="43"/>
        <v>115774.81600000001</v>
      </c>
      <c r="AQ75" s="405">
        <f t="shared" si="43"/>
        <v>119545.12799999998</v>
      </c>
      <c r="AR75" s="405">
        <f t="shared" si="43"/>
        <v>117145.31300000001</v>
      </c>
      <c r="AS75" s="405">
        <f t="shared" si="43"/>
        <v>138070.00599999999</v>
      </c>
      <c r="AT75" s="405">
        <f t="shared" si="43"/>
        <v>138070.00599999999</v>
      </c>
      <c r="AU75" s="405">
        <f t="shared" si="43"/>
        <v>138070.00599999999</v>
      </c>
      <c r="AV75" s="405">
        <f t="shared" si="43"/>
        <v>138070.00599999999</v>
      </c>
      <c r="AW75" s="405">
        <f t="shared" si="43"/>
        <v>138070.00599999999</v>
      </c>
      <c r="AX75" s="405">
        <f t="shared" si="43"/>
        <v>138070.00599999999</v>
      </c>
      <c r="AY75" s="405">
        <f t="shared" si="43"/>
        <v>138070.00599999999</v>
      </c>
      <c r="AZ75" s="405">
        <f t="shared" si="43"/>
        <v>138070.00599999999</v>
      </c>
      <c r="BA75" s="405">
        <f t="shared" si="43"/>
        <v>138070.00599999999</v>
      </c>
      <c r="BB75" s="406">
        <f t="shared" si="43"/>
        <v>138070.00599999999</v>
      </c>
      <c r="BC75" s="454"/>
      <c r="BD75" s="454"/>
      <c r="BE75" s="454"/>
      <c r="BF75" s="454"/>
      <c r="BG75" s="454"/>
      <c r="BH75" s="454"/>
      <c r="BI75" s="454"/>
      <c r="BJ75" s="454"/>
      <c r="BK75" s="454"/>
      <c r="BL75" s="454"/>
      <c r="BM75" s="454"/>
      <c r="BN75" s="454"/>
      <c r="BO75" s="454"/>
      <c r="BP75" s="454"/>
      <c r="BQ75" s="454"/>
      <c r="BR75" s="454"/>
      <c r="BS75" s="454"/>
      <c r="FY75" s="15"/>
      <c r="GE75" s="15"/>
      <c r="GK75" s="15"/>
      <c r="GQ75" s="15"/>
      <c r="GW75" s="15"/>
      <c r="HV75" s="2"/>
      <c r="HW75" s="2"/>
      <c r="HX75" s="2"/>
      <c r="HY75" s="2"/>
      <c r="HZ75" s="2"/>
      <c r="IA75" s="2"/>
      <c r="IB75" s="2"/>
      <c r="IC75" s="2"/>
      <c r="ID75" s="2"/>
      <c r="IE75" s="2"/>
      <c r="IF75" s="2"/>
      <c r="IG75" s="2"/>
      <c r="IH75" s="2"/>
      <c r="II75" s="2"/>
      <c r="IJ75" s="2"/>
      <c r="IK75" s="2"/>
      <c r="IL75" s="2"/>
      <c r="IM75" s="2"/>
      <c r="IN75" s="3"/>
      <c r="IO75" s="2"/>
      <c r="IP75" s="2"/>
      <c r="IQ75" s="2"/>
      <c r="IR75" s="2"/>
      <c r="IS75" s="2"/>
      <c r="IT75" s="2"/>
      <c r="IU75" s="2"/>
      <c r="IV75" s="2"/>
      <c r="IW75" s="2"/>
      <c r="IX75" s="2"/>
      <c r="IY75" s="2"/>
      <c r="IZ75" s="2"/>
      <c r="JA75" s="2"/>
      <c r="JB75" s="2"/>
      <c r="JC75" s="2"/>
      <c r="JD75" s="2"/>
      <c r="JE75" s="2"/>
    </row>
    <row r="76" spans="1:519" s="3" customFormat="1" ht="14.4" hidden="1" customHeight="1" x14ac:dyDescent="0.3">
      <c r="B76" s="3">
        <v>1</v>
      </c>
      <c r="C76" s="3">
        <v>2</v>
      </c>
      <c r="D76" s="3">
        <v>1</v>
      </c>
      <c r="E76" s="3">
        <v>2</v>
      </c>
      <c r="F76" s="3">
        <v>1</v>
      </c>
      <c r="G76" s="3">
        <v>2</v>
      </c>
      <c r="H76" s="3">
        <v>1</v>
      </c>
      <c r="I76" s="3">
        <v>2</v>
      </c>
      <c r="J76" s="3">
        <v>1</v>
      </c>
      <c r="K76" s="3">
        <v>2</v>
      </c>
      <c r="L76" s="3">
        <v>1</v>
      </c>
      <c r="M76" s="3">
        <v>2</v>
      </c>
      <c r="N76" s="3">
        <v>1</v>
      </c>
      <c r="O76" s="3">
        <v>2</v>
      </c>
      <c r="P76" s="3">
        <v>1</v>
      </c>
      <c r="Q76" s="3">
        <v>2</v>
      </c>
      <c r="R76" s="3">
        <v>1</v>
      </c>
      <c r="S76" s="3">
        <v>2</v>
      </c>
      <c r="T76" s="3">
        <v>1</v>
      </c>
      <c r="U76" s="3">
        <v>2</v>
      </c>
      <c r="V76" s="3">
        <v>1</v>
      </c>
      <c r="W76" s="3">
        <v>2</v>
      </c>
      <c r="X76" s="3">
        <v>1</v>
      </c>
      <c r="Y76" s="3">
        <v>2</v>
      </c>
      <c r="Z76" s="3">
        <v>1</v>
      </c>
      <c r="AA76" s="3">
        <v>2</v>
      </c>
      <c r="AB76" s="3">
        <v>1</v>
      </c>
      <c r="AC76" s="3">
        <v>2</v>
      </c>
      <c r="AD76" s="3">
        <v>1</v>
      </c>
      <c r="AE76" s="3">
        <v>2</v>
      </c>
      <c r="AF76" s="3">
        <v>1</v>
      </c>
      <c r="AG76" s="3">
        <v>2</v>
      </c>
      <c r="AH76" s="3">
        <v>1</v>
      </c>
      <c r="AI76" s="3">
        <v>2</v>
      </c>
      <c r="AJ76" s="3">
        <v>1</v>
      </c>
      <c r="AK76" s="3">
        <v>2</v>
      </c>
      <c r="AL76" s="3">
        <v>1</v>
      </c>
      <c r="AM76" s="3">
        <v>2</v>
      </c>
      <c r="AN76" s="3">
        <v>1</v>
      </c>
      <c r="AO76" s="3">
        <v>2</v>
      </c>
      <c r="AP76" s="3">
        <v>1</v>
      </c>
      <c r="AQ76" s="3">
        <v>2</v>
      </c>
      <c r="AR76" s="3">
        <v>1</v>
      </c>
      <c r="AS76" s="3">
        <v>2</v>
      </c>
      <c r="AT76" s="3">
        <v>1</v>
      </c>
      <c r="AU76" s="3">
        <v>2</v>
      </c>
      <c r="AV76" s="3">
        <v>1</v>
      </c>
      <c r="AW76" s="3">
        <v>2</v>
      </c>
      <c r="AX76" s="3">
        <v>1</v>
      </c>
      <c r="AY76" s="3">
        <v>2</v>
      </c>
      <c r="AZ76" s="3">
        <v>1</v>
      </c>
      <c r="BA76" s="3">
        <v>2</v>
      </c>
      <c r="BB76" s="3">
        <v>1</v>
      </c>
      <c r="BC76" s="3">
        <v>2</v>
      </c>
      <c r="BD76" s="3">
        <v>1</v>
      </c>
      <c r="BE76" s="3">
        <v>2</v>
      </c>
      <c r="BF76" s="3">
        <v>1</v>
      </c>
      <c r="BG76" s="3">
        <v>2</v>
      </c>
      <c r="BH76" s="3">
        <v>1</v>
      </c>
      <c r="BI76" s="3">
        <v>2</v>
      </c>
      <c r="BJ76" s="3">
        <v>1</v>
      </c>
      <c r="BK76" s="3">
        <v>2</v>
      </c>
      <c r="BL76" s="3">
        <v>1</v>
      </c>
      <c r="BM76" s="3">
        <v>2</v>
      </c>
      <c r="BN76" s="3">
        <v>1</v>
      </c>
      <c r="BO76" s="3">
        <v>2</v>
      </c>
      <c r="BP76" s="3">
        <v>1</v>
      </c>
      <c r="BQ76" s="3">
        <v>2</v>
      </c>
      <c r="BR76" s="3">
        <v>1</v>
      </c>
      <c r="BS76" s="3">
        <v>2</v>
      </c>
      <c r="FY76" s="465"/>
      <c r="GE76" s="465"/>
      <c r="GK76" s="465"/>
      <c r="GQ76" s="465"/>
      <c r="GW76" s="465"/>
      <c r="JF76" s="107"/>
      <c r="JG76" s="107"/>
      <c r="JH76"/>
      <c r="JI76"/>
      <c r="JJ76"/>
      <c r="JK76"/>
      <c r="JL76"/>
      <c r="JM76"/>
      <c r="JN76"/>
      <c r="JO76"/>
      <c r="JP76"/>
      <c r="JQ76"/>
      <c r="JR76"/>
      <c r="JS76"/>
      <c r="JT76"/>
      <c r="JU76"/>
      <c r="JV76"/>
      <c r="JW76"/>
      <c r="JX76"/>
      <c r="JY76"/>
      <c r="JZ76"/>
      <c r="KA76"/>
      <c r="KB76"/>
      <c r="KC76"/>
      <c r="KD76"/>
      <c r="KE76"/>
      <c r="KF76"/>
      <c r="KG76"/>
      <c r="KH76"/>
      <c r="KI76"/>
      <c r="KJ76"/>
      <c r="KK76"/>
      <c r="KL76"/>
      <c r="KM76"/>
      <c r="KN76"/>
      <c r="KO76"/>
      <c r="KP76"/>
      <c r="KQ76"/>
      <c r="KR76"/>
      <c r="KS76"/>
      <c r="KT76"/>
      <c r="KU76"/>
      <c r="KV76"/>
      <c r="KW76"/>
      <c r="KX76"/>
      <c r="KY76"/>
      <c r="KZ76"/>
      <c r="LA76"/>
      <c r="LB76"/>
      <c r="LC76"/>
      <c r="LD76"/>
      <c r="LE76"/>
      <c r="LF76"/>
      <c r="LG76"/>
      <c r="LH76"/>
      <c r="LI76"/>
      <c r="LJ76"/>
      <c r="LK76"/>
      <c r="LL76"/>
      <c r="LM76"/>
      <c r="LN76"/>
      <c r="LO76"/>
      <c r="LP76"/>
      <c r="LQ76"/>
      <c r="LR76"/>
      <c r="LS76"/>
      <c r="LT76"/>
      <c r="LU76"/>
      <c r="LV76"/>
      <c r="LW76"/>
      <c r="LX76"/>
      <c r="LY76"/>
      <c r="LZ76"/>
      <c r="MA76"/>
      <c r="MB76"/>
      <c r="MC76"/>
      <c r="MD76"/>
      <c r="ME76"/>
      <c r="MF76"/>
      <c r="MG76"/>
      <c r="MH76"/>
      <c r="MI76"/>
      <c r="MJ76"/>
      <c r="MK76"/>
      <c r="ML76"/>
      <c r="MM76"/>
      <c r="MN76"/>
      <c r="MO76"/>
      <c r="MP76"/>
      <c r="MQ76"/>
      <c r="MR76"/>
      <c r="MS76"/>
      <c r="MT76"/>
      <c r="MU76"/>
      <c r="MV76"/>
      <c r="MW76"/>
      <c r="MX76"/>
      <c r="MY76"/>
      <c r="MZ76"/>
      <c r="NA76"/>
      <c r="NB76"/>
      <c r="NC76"/>
      <c r="ND76"/>
      <c r="NE76"/>
      <c r="NF76"/>
      <c r="NG76"/>
      <c r="NH76"/>
      <c r="NI76"/>
      <c r="NJ76"/>
      <c r="NK76"/>
      <c r="NL76"/>
      <c r="NM76"/>
      <c r="NN76"/>
      <c r="NO76"/>
      <c r="NP76"/>
      <c r="NQ76"/>
      <c r="NR76"/>
      <c r="NS76"/>
      <c r="NT76"/>
      <c r="NU76"/>
      <c r="NV76"/>
      <c r="NW76"/>
      <c r="NX76"/>
      <c r="NY76"/>
      <c r="NZ76"/>
      <c r="OA76"/>
      <c r="OB76"/>
      <c r="OC76"/>
      <c r="OD76"/>
      <c r="OE76"/>
      <c r="OF76"/>
      <c r="OG76"/>
      <c r="OH76"/>
      <c r="OI76"/>
      <c r="OJ76"/>
      <c r="OK76"/>
      <c r="OL76"/>
      <c r="OM76"/>
      <c r="ON76"/>
      <c r="OO76"/>
      <c r="OP76"/>
      <c r="OQ76"/>
      <c r="OR76"/>
      <c r="OS76"/>
      <c r="OT76"/>
      <c r="OU76"/>
      <c r="OV76"/>
      <c r="OW76"/>
      <c r="OX76"/>
      <c r="OY76"/>
      <c r="OZ76"/>
      <c r="PA76"/>
      <c r="PB76"/>
      <c r="PC76"/>
      <c r="PD76"/>
      <c r="PE76"/>
      <c r="PF76"/>
      <c r="PG76"/>
      <c r="PH76"/>
      <c r="PI76"/>
      <c r="PJ76"/>
      <c r="PK76"/>
      <c r="PL76"/>
      <c r="PM76"/>
      <c r="PN76"/>
      <c r="PO76"/>
      <c r="PP76"/>
      <c r="PQ76"/>
      <c r="PR76"/>
      <c r="PS76"/>
      <c r="PT76"/>
      <c r="PU76"/>
      <c r="PV76"/>
      <c r="PW76"/>
      <c r="PX76"/>
      <c r="PY76"/>
      <c r="PZ76"/>
      <c r="QA76"/>
      <c r="QB76"/>
      <c r="QC76"/>
      <c r="QD76"/>
      <c r="QE76"/>
      <c r="QF76"/>
      <c r="QG76"/>
      <c r="QH76"/>
      <c r="QI76"/>
      <c r="QJ76"/>
      <c r="QK76"/>
      <c r="QL76"/>
      <c r="QM76"/>
      <c r="QN76"/>
      <c r="QO76"/>
      <c r="QP76"/>
      <c r="QQ76"/>
      <c r="QR76"/>
      <c r="QS76"/>
      <c r="QT76"/>
      <c r="QU76"/>
      <c r="QV76"/>
      <c r="QW76"/>
      <c r="QX76"/>
      <c r="QY76"/>
      <c r="QZ76"/>
      <c r="RA76"/>
      <c r="RB76"/>
      <c r="RC76"/>
      <c r="RD76"/>
      <c r="RE76"/>
      <c r="RF76"/>
      <c r="RG76"/>
      <c r="RH76"/>
      <c r="RI76"/>
      <c r="RJ76"/>
      <c r="RK76"/>
      <c r="RL76"/>
      <c r="RM76"/>
      <c r="RN76"/>
      <c r="RO76"/>
      <c r="RP76"/>
      <c r="RQ76"/>
      <c r="RR76"/>
      <c r="RS76"/>
      <c r="RT76"/>
      <c r="RU76"/>
      <c r="RV76"/>
      <c r="RW76"/>
      <c r="RX76"/>
      <c r="RY76"/>
      <c r="RZ76"/>
      <c r="SA76"/>
      <c r="SB76"/>
      <c r="SC76"/>
      <c r="SD76"/>
      <c r="SE76"/>
      <c r="SF76"/>
      <c r="SG76"/>
      <c r="SH76"/>
      <c r="SI76"/>
      <c r="SJ76"/>
      <c r="SK76"/>
      <c r="SL76"/>
      <c r="SM76"/>
      <c r="SN76"/>
      <c r="SO76"/>
      <c r="SP76"/>
      <c r="SQ76"/>
      <c r="SR76"/>
      <c r="SS76"/>
      <c r="ST76"/>
      <c r="SU76"/>
      <c r="SV76"/>
      <c r="SW76"/>
      <c r="SX76"/>
      <c r="SY76"/>
    </row>
    <row r="77" spans="1:519" s="466" customFormat="1" ht="18.600000000000001" hidden="1" customHeight="1" x14ac:dyDescent="0.35">
      <c r="B77" s="466">
        <f t="shared" ref="B77:AG77" si="44">VALUE(RIGHT(B61,4))</f>
        <v>2001</v>
      </c>
      <c r="C77" s="466">
        <f t="shared" si="44"/>
        <v>2001</v>
      </c>
      <c r="D77" s="466">
        <f t="shared" si="44"/>
        <v>2002</v>
      </c>
      <c r="E77" s="466">
        <f t="shared" si="44"/>
        <v>2002</v>
      </c>
      <c r="F77" s="466">
        <f t="shared" si="44"/>
        <v>2003</v>
      </c>
      <c r="G77" s="466">
        <f t="shared" si="44"/>
        <v>2003</v>
      </c>
      <c r="H77" s="466">
        <f t="shared" si="44"/>
        <v>2004</v>
      </c>
      <c r="I77" s="466">
        <f t="shared" si="44"/>
        <v>2004</v>
      </c>
      <c r="J77" s="466">
        <f t="shared" si="44"/>
        <v>2005</v>
      </c>
      <c r="K77" s="466">
        <f t="shared" si="44"/>
        <v>2005</v>
      </c>
      <c r="L77" s="466">
        <f t="shared" si="44"/>
        <v>2006</v>
      </c>
      <c r="M77" s="466">
        <f t="shared" si="44"/>
        <v>2006</v>
      </c>
      <c r="N77" s="466">
        <f t="shared" si="44"/>
        <v>2007</v>
      </c>
      <c r="O77" s="466">
        <f t="shared" si="44"/>
        <v>2007</v>
      </c>
      <c r="P77" s="466">
        <f t="shared" si="44"/>
        <v>2008</v>
      </c>
      <c r="Q77" s="466">
        <f t="shared" si="44"/>
        <v>2008</v>
      </c>
      <c r="R77" s="466">
        <f t="shared" si="44"/>
        <v>2009</v>
      </c>
      <c r="S77" s="466">
        <f t="shared" si="44"/>
        <v>2009</v>
      </c>
      <c r="T77" s="466">
        <f t="shared" si="44"/>
        <v>2010</v>
      </c>
      <c r="U77" s="466">
        <f t="shared" si="44"/>
        <v>2010</v>
      </c>
      <c r="V77" s="466">
        <f t="shared" si="44"/>
        <v>2011</v>
      </c>
      <c r="W77" s="466">
        <f t="shared" si="44"/>
        <v>2011</v>
      </c>
      <c r="X77" s="466">
        <f t="shared" si="44"/>
        <v>2012</v>
      </c>
      <c r="Y77" s="466">
        <f t="shared" si="44"/>
        <v>2012</v>
      </c>
      <c r="Z77" s="466">
        <f t="shared" si="44"/>
        <v>2013</v>
      </c>
      <c r="AA77" s="466">
        <f t="shared" si="44"/>
        <v>2013</v>
      </c>
      <c r="AB77" s="466">
        <f t="shared" si="44"/>
        <v>2014</v>
      </c>
      <c r="AC77" s="466">
        <f t="shared" si="44"/>
        <v>2014</v>
      </c>
      <c r="AD77" s="466">
        <f t="shared" si="44"/>
        <v>2015</v>
      </c>
      <c r="AE77" s="466">
        <f t="shared" si="44"/>
        <v>2015</v>
      </c>
      <c r="AF77" s="466">
        <f t="shared" si="44"/>
        <v>2016</v>
      </c>
      <c r="AG77" s="466">
        <f t="shared" si="44"/>
        <v>2016</v>
      </c>
      <c r="AH77" s="466">
        <f>VALUE(RIGHT(AH61,4))</f>
        <v>2017</v>
      </c>
      <c r="AI77" s="466">
        <f t="shared" ref="AI77:BS77" si="45">VALUE(RIGHT(AI61,4))</f>
        <v>2017</v>
      </c>
      <c r="AJ77" s="466">
        <f t="shared" si="45"/>
        <v>2018</v>
      </c>
      <c r="AK77" s="466">
        <f t="shared" si="45"/>
        <v>2018</v>
      </c>
      <c r="AL77" s="466">
        <f t="shared" si="45"/>
        <v>2019</v>
      </c>
      <c r="AM77" s="466">
        <f t="shared" si="45"/>
        <v>2019</v>
      </c>
      <c r="AN77" s="466">
        <f t="shared" si="45"/>
        <v>2020</v>
      </c>
      <c r="AO77" s="466">
        <f t="shared" si="45"/>
        <v>2020</v>
      </c>
      <c r="AP77" s="466">
        <f t="shared" si="45"/>
        <v>2021</v>
      </c>
      <c r="AQ77" s="466">
        <f t="shared" si="45"/>
        <v>2021</v>
      </c>
      <c r="AR77" s="466">
        <f t="shared" si="45"/>
        <v>2022</v>
      </c>
      <c r="AS77" s="466" t="e">
        <f t="shared" si="45"/>
        <v>#VALUE!</v>
      </c>
      <c r="AT77" s="466" t="e">
        <f t="shared" si="45"/>
        <v>#VALUE!</v>
      </c>
      <c r="AU77" s="466" t="e">
        <f t="shared" si="45"/>
        <v>#VALUE!</v>
      </c>
      <c r="AV77" s="466" t="e">
        <f t="shared" si="45"/>
        <v>#VALUE!</v>
      </c>
      <c r="AW77" s="466" t="e">
        <f t="shared" si="45"/>
        <v>#VALUE!</v>
      </c>
      <c r="AX77" s="466" t="e">
        <f t="shared" si="45"/>
        <v>#VALUE!</v>
      </c>
      <c r="AY77" s="466" t="e">
        <f t="shared" si="45"/>
        <v>#VALUE!</v>
      </c>
      <c r="AZ77" s="466" t="e">
        <f t="shared" si="45"/>
        <v>#VALUE!</v>
      </c>
      <c r="BA77" s="466" t="e">
        <f t="shared" si="45"/>
        <v>#VALUE!</v>
      </c>
      <c r="BB77" s="466" t="e">
        <f t="shared" si="45"/>
        <v>#VALUE!</v>
      </c>
      <c r="BC77" s="466" t="e">
        <f t="shared" si="45"/>
        <v>#VALUE!</v>
      </c>
      <c r="BD77" s="466" t="e">
        <f t="shared" si="45"/>
        <v>#VALUE!</v>
      </c>
      <c r="BE77" s="466" t="e">
        <f t="shared" si="45"/>
        <v>#VALUE!</v>
      </c>
      <c r="BF77" s="466" t="e">
        <f t="shared" si="45"/>
        <v>#VALUE!</v>
      </c>
      <c r="BG77" s="466" t="e">
        <f t="shared" si="45"/>
        <v>#VALUE!</v>
      </c>
      <c r="BH77" s="466" t="e">
        <f t="shared" si="45"/>
        <v>#VALUE!</v>
      </c>
      <c r="BI77" s="466" t="e">
        <f t="shared" si="45"/>
        <v>#VALUE!</v>
      </c>
      <c r="BJ77" s="466" t="e">
        <f t="shared" si="45"/>
        <v>#VALUE!</v>
      </c>
      <c r="BK77" s="466" t="e">
        <f t="shared" si="45"/>
        <v>#VALUE!</v>
      </c>
      <c r="BL77" s="466" t="e">
        <f t="shared" si="45"/>
        <v>#VALUE!</v>
      </c>
      <c r="BM77" s="466" t="e">
        <f t="shared" si="45"/>
        <v>#VALUE!</v>
      </c>
      <c r="BN77" s="466" t="e">
        <f t="shared" si="45"/>
        <v>#VALUE!</v>
      </c>
      <c r="BO77" s="466" t="e">
        <f t="shared" si="45"/>
        <v>#VALUE!</v>
      </c>
      <c r="BP77" s="466" t="e">
        <f t="shared" si="45"/>
        <v>#VALUE!</v>
      </c>
      <c r="BQ77" s="466" t="e">
        <f t="shared" si="45"/>
        <v>#VALUE!</v>
      </c>
      <c r="BR77" s="466" t="e">
        <f t="shared" si="45"/>
        <v>#VALUE!</v>
      </c>
      <c r="BS77" s="466" t="e">
        <f t="shared" si="45"/>
        <v>#VALUE!</v>
      </c>
      <c r="FY77" s="467"/>
      <c r="GE77" s="467"/>
      <c r="GK77" s="467"/>
      <c r="GQ77" s="467"/>
      <c r="GW77" s="467"/>
      <c r="JF77" s="605"/>
      <c r="JG77" s="605"/>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c r="LK77"/>
      <c r="LL77"/>
      <c r="LM77"/>
      <c r="LN77"/>
      <c r="LO77"/>
      <c r="LP77"/>
      <c r="LQ77"/>
      <c r="LR77"/>
      <c r="LS77"/>
      <c r="LT77"/>
      <c r="LU77"/>
      <c r="LV77"/>
      <c r="LW77"/>
      <c r="LX77"/>
      <c r="LY77"/>
      <c r="LZ77"/>
      <c r="MA77"/>
      <c r="MB77"/>
      <c r="MC77"/>
      <c r="MD77"/>
      <c r="ME77"/>
      <c r="MF77"/>
      <c r="MG77"/>
      <c r="MH77"/>
      <c r="MI77"/>
      <c r="MJ77"/>
      <c r="MK77"/>
      <c r="ML77"/>
      <c r="MM77"/>
      <c r="MN77"/>
      <c r="MO77"/>
      <c r="MP77"/>
      <c r="MQ77"/>
      <c r="MR77"/>
      <c r="MS77"/>
      <c r="MT77"/>
      <c r="MU77"/>
      <c r="MV77"/>
      <c r="MW77"/>
      <c r="MX77"/>
      <c r="MY77"/>
      <c r="MZ77"/>
      <c r="NA77"/>
      <c r="NB77"/>
      <c r="NC77"/>
      <c r="ND77"/>
      <c r="NE77"/>
      <c r="NF77"/>
      <c r="NG77"/>
      <c r="NH77"/>
      <c r="NI77"/>
      <c r="NJ77"/>
      <c r="NK77"/>
      <c r="NL77"/>
      <c r="NM77"/>
      <c r="NN77"/>
      <c r="NO77"/>
      <c r="NP77"/>
      <c r="NQ77"/>
      <c r="NR77"/>
      <c r="NS77"/>
      <c r="NT77"/>
      <c r="NU77"/>
      <c r="NV77"/>
      <c r="NW77"/>
      <c r="NX77"/>
      <c r="NY77"/>
      <c r="NZ77"/>
      <c r="OA77"/>
      <c r="OB77"/>
      <c r="OC77"/>
      <c r="OD77"/>
      <c r="OE77"/>
      <c r="OF77"/>
      <c r="OG77"/>
      <c r="OH77"/>
      <c r="OI77"/>
      <c r="OJ77"/>
      <c r="OK77"/>
      <c r="OL77"/>
      <c r="OM77"/>
      <c r="ON77"/>
      <c r="OO77"/>
      <c r="OP77"/>
      <c r="OQ77"/>
      <c r="OR77"/>
      <c r="OS77"/>
      <c r="OT77"/>
      <c r="OU77"/>
      <c r="OV77"/>
      <c r="OW77"/>
      <c r="OX77"/>
      <c r="OY77"/>
      <c r="OZ77"/>
      <c r="PA77"/>
      <c r="PB77"/>
      <c r="PC77"/>
      <c r="PD77"/>
      <c r="PE77"/>
      <c r="PF77"/>
      <c r="PG77"/>
      <c r="PH77"/>
      <c r="PI77"/>
      <c r="PJ77"/>
      <c r="PK77"/>
      <c r="PL77"/>
      <c r="PM77"/>
      <c r="PN77"/>
      <c r="PO77"/>
      <c r="PP77"/>
      <c r="PQ77"/>
      <c r="PR77"/>
      <c r="PS77"/>
      <c r="PT77"/>
      <c r="PU77"/>
      <c r="PV77"/>
      <c r="PW77"/>
      <c r="PX77"/>
      <c r="PY77"/>
      <c r="PZ77"/>
      <c r="QA77"/>
      <c r="QB77"/>
      <c r="QC77"/>
      <c r="QD77"/>
      <c r="QE77"/>
      <c r="QF77"/>
      <c r="QG77"/>
      <c r="QH77"/>
      <c r="QI77"/>
      <c r="QJ77"/>
      <c r="QK77"/>
      <c r="QL77"/>
      <c r="QM77"/>
      <c r="QN77"/>
      <c r="QO77"/>
      <c r="QP77"/>
      <c r="QQ77"/>
      <c r="QR77"/>
      <c r="QS77"/>
      <c r="QT77"/>
      <c r="QU77"/>
      <c r="QV77"/>
      <c r="QW77"/>
      <c r="QX77"/>
      <c r="QY77"/>
      <c r="QZ77"/>
      <c r="RA77"/>
      <c r="RB77"/>
      <c r="RC77"/>
      <c r="RD77"/>
      <c r="RE77"/>
      <c r="RF77"/>
      <c r="RG77"/>
      <c r="RH77"/>
      <c r="RI77"/>
      <c r="RJ77"/>
      <c r="RK77"/>
      <c r="RL77"/>
      <c r="RM77"/>
      <c r="RN77"/>
      <c r="RO77"/>
      <c r="RP77"/>
      <c r="RQ77"/>
      <c r="RR77"/>
      <c r="RS77"/>
      <c r="RT77"/>
      <c r="RU77"/>
      <c r="RV77"/>
      <c r="RW77"/>
      <c r="RX77"/>
      <c r="RY77"/>
      <c r="RZ77"/>
      <c r="SA77"/>
      <c r="SB77"/>
      <c r="SC77"/>
      <c r="SD77"/>
      <c r="SE77"/>
      <c r="SF77"/>
      <c r="SG77"/>
      <c r="SH77"/>
      <c r="SI77"/>
      <c r="SJ77"/>
      <c r="SK77"/>
      <c r="SL77"/>
      <c r="SM77"/>
      <c r="SN77"/>
      <c r="SO77"/>
      <c r="SP77"/>
      <c r="SQ77"/>
      <c r="SR77"/>
      <c r="SS77"/>
      <c r="ST77"/>
      <c r="SU77"/>
      <c r="SV77"/>
      <c r="SW77"/>
      <c r="SX77"/>
      <c r="SY77"/>
    </row>
    <row r="78" spans="1:519" ht="14.4" hidden="1" customHeight="1" x14ac:dyDescent="0.3">
      <c r="FY78" s="15"/>
      <c r="GE78" s="15"/>
      <c r="GK78" s="15"/>
      <c r="GQ78" s="15"/>
      <c r="GW78" s="15"/>
      <c r="HV78" s="2"/>
      <c r="HW78" s="2"/>
      <c r="HX78" s="2"/>
      <c r="HY78" s="2"/>
      <c r="HZ78" s="2"/>
      <c r="IA78" s="2"/>
      <c r="IB78" s="2"/>
      <c r="IC78" s="2"/>
      <c r="ID78" s="2"/>
      <c r="IE78" s="2"/>
      <c r="IF78" s="2"/>
      <c r="IG78" s="2"/>
      <c r="IH78" s="2"/>
      <c r="II78" s="2"/>
      <c r="IJ78" s="2"/>
      <c r="IK78" s="2"/>
      <c r="IL78" s="2"/>
      <c r="IM78" s="2"/>
      <c r="IN78" s="3"/>
      <c r="IO78" s="2"/>
      <c r="IP78" s="2"/>
      <c r="IQ78" s="2"/>
      <c r="IR78" s="2"/>
      <c r="IS78" s="2"/>
      <c r="IT78" s="2"/>
      <c r="IU78" s="2"/>
      <c r="IV78" s="2"/>
      <c r="IW78" s="2"/>
      <c r="IX78" s="2"/>
      <c r="IY78" s="2"/>
      <c r="IZ78" s="2"/>
      <c r="JA78" s="2"/>
      <c r="JB78" s="2"/>
      <c r="JC78" s="2"/>
      <c r="JD78" s="2"/>
      <c r="JE78" s="2"/>
    </row>
    <row r="79" spans="1:519" x14ac:dyDescent="0.3">
      <c r="HV79" s="2"/>
      <c r="HW79" s="2"/>
      <c r="HX79" s="2"/>
      <c r="HY79" s="2"/>
      <c r="HZ79" s="2"/>
      <c r="IA79" s="2"/>
      <c r="IB79" s="2"/>
      <c r="IC79" s="2"/>
      <c r="ID79" s="2"/>
      <c r="IE79" s="2"/>
      <c r="IF79" s="2"/>
      <c r="IG79" s="2"/>
      <c r="IH79" s="2"/>
      <c r="II79" s="2"/>
      <c r="IJ79" s="2"/>
      <c r="IK79" s="2"/>
      <c r="IL79" s="2"/>
      <c r="IM79" s="2"/>
      <c r="IN79" s="3"/>
      <c r="IO79" s="2"/>
      <c r="IP79" s="2"/>
      <c r="IQ79" s="2"/>
      <c r="IR79" s="2"/>
      <c r="IS79" s="2"/>
      <c r="IT79" s="2"/>
      <c r="IU79" s="2"/>
      <c r="IV79" s="2"/>
      <c r="IW79" s="2"/>
      <c r="IX79" s="2"/>
      <c r="IY79" s="2"/>
      <c r="IZ79" s="2"/>
      <c r="JA79" s="2"/>
      <c r="JB79" s="2"/>
      <c r="JC79" s="2"/>
      <c r="JD79" s="2"/>
      <c r="JE79" s="2"/>
    </row>
    <row r="80" spans="1:519" ht="15" thickBot="1" x14ac:dyDescent="0.35">
      <c r="A80" s="4" t="s">
        <v>250</v>
      </c>
      <c r="IA80" s="413"/>
      <c r="IB80" s="413"/>
      <c r="IC80" s="413"/>
      <c r="ID80" s="413"/>
      <c r="IE80" s="413"/>
      <c r="IF80" s="413"/>
      <c r="IG80" s="413"/>
      <c r="IH80" s="413"/>
      <c r="II80" s="413"/>
      <c r="IJ80" s="2"/>
      <c r="IK80" s="2"/>
      <c r="IL80" s="2"/>
      <c r="IM80" s="2"/>
      <c r="IN80" s="3"/>
      <c r="IO80" s="2"/>
      <c r="IP80" s="2"/>
      <c r="IQ80" s="2"/>
      <c r="IR80" s="2"/>
      <c r="IS80" s="2"/>
      <c r="IT80" s="2"/>
      <c r="IU80" s="2"/>
      <c r="IV80" s="2"/>
      <c r="IW80" s="2"/>
      <c r="IX80" s="2"/>
      <c r="IY80" s="2"/>
      <c r="IZ80" s="2"/>
      <c r="JA80" s="2"/>
      <c r="JB80" s="2"/>
      <c r="JC80" s="2"/>
      <c r="JD80" s="2"/>
      <c r="JE80" s="2"/>
    </row>
    <row r="81" spans="1:265" x14ac:dyDescent="0.3">
      <c r="A81" s="468"/>
      <c r="B81" s="440">
        <v>36892</v>
      </c>
      <c r="C81" s="440">
        <v>36923</v>
      </c>
      <c r="D81" s="440">
        <v>36951</v>
      </c>
      <c r="E81" s="440">
        <v>36982</v>
      </c>
      <c r="F81" s="440">
        <v>37012</v>
      </c>
      <c r="G81" s="440">
        <v>37043</v>
      </c>
      <c r="H81" s="440">
        <v>37073</v>
      </c>
      <c r="I81" s="440">
        <v>37104</v>
      </c>
      <c r="J81" s="440">
        <v>37135</v>
      </c>
      <c r="K81" s="440">
        <v>37165</v>
      </c>
      <c r="L81" s="440">
        <v>37196</v>
      </c>
      <c r="M81" s="440">
        <v>37226</v>
      </c>
      <c r="N81" s="440">
        <v>37257</v>
      </c>
      <c r="O81" s="440">
        <v>37288</v>
      </c>
      <c r="P81" s="440">
        <v>37316</v>
      </c>
      <c r="Q81" s="440">
        <v>37347</v>
      </c>
      <c r="R81" s="440">
        <v>37377</v>
      </c>
      <c r="S81" s="440">
        <v>37408</v>
      </c>
      <c r="T81" s="440">
        <v>37438</v>
      </c>
      <c r="U81" s="440">
        <v>37469</v>
      </c>
      <c r="V81" s="440">
        <v>37500</v>
      </c>
      <c r="W81" s="440">
        <v>37530</v>
      </c>
      <c r="X81" s="440">
        <v>37561</v>
      </c>
      <c r="Y81" s="440">
        <v>37591</v>
      </c>
      <c r="Z81" s="440">
        <v>37622</v>
      </c>
      <c r="AA81" s="440">
        <v>37653</v>
      </c>
      <c r="AB81" s="440">
        <v>37681</v>
      </c>
      <c r="AC81" s="440">
        <v>37712</v>
      </c>
      <c r="AD81" s="440">
        <v>37742</v>
      </c>
      <c r="AE81" s="440">
        <v>37773</v>
      </c>
      <c r="AF81" s="440">
        <v>37803</v>
      </c>
      <c r="AG81" s="440">
        <v>37834</v>
      </c>
      <c r="AH81" s="440">
        <v>37865</v>
      </c>
      <c r="AI81" s="440">
        <v>37895</v>
      </c>
      <c r="AJ81" s="440">
        <v>37926</v>
      </c>
      <c r="AK81" s="440">
        <v>37956</v>
      </c>
      <c r="AL81" s="440">
        <v>37987</v>
      </c>
      <c r="AM81" s="440">
        <v>38018</v>
      </c>
      <c r="AN81" s="440">
        <v>38047</v>
      </c>
      <c r="AO81" s="440">
        <v>38078</v>
      </c>
      <c r="AP81" s="440">
        <v>38108</v>
      </c>
      <c r="AQ81" s="440">
        <v>38139</v>
      </c>
      <c r="AR81" s="440">
        <v>38169</v>
      </c>
      <c r="AS81" s="440">
        <v>38200</v>
      </c>
      <c r="AT81" s="440">
        <v>38231</v>
      </c>
      <c r="AU81" s="440">
        <v>38261</v>
      </c>
      <c r="AV81" s="440">
        <v>38292</v>
      </c>
      <c r="AW81" s="440">
        <v>38322</v>
      </c>
      <c r="AX81" s="440">
        <v>38353</v>
      </c>
      <c r="AY81" s="440">
        <v>38384</v>
      </c>
      <c r="AZ81" s="440">
        <v>38412</v>
      </c>
      <c r="BA81" s="440">
        <v>38443</v>
      </c>
      <c r="BB81" s="440">
        <v>38473</v>
      </c>
      <c r="BC81" s="440">
        <v>38504</v>
      </c>
      <c r="BD81" s="440">
        <v>38534</v>
      </c>
      <c r="BE81" s="440">
        <v>38565</v>
      </c>
      <c r="BF81" s="440">
        <v>38596</v>
      </c>
      <c r="BG81" s="440">
        <v>38626</v>
      </c>
      <c r="BH81" s="440">
        <v>38657</v>
      </c>
      <c r="BI81" s="440">
        <v>38687</v>
      </c>
      <c r="BJ81" s="440">
        <v>38718</v>
      </c>
      <c r="BK81" s="440">
        <v>38749</v>
      </c>
      <c r="BL81" s="440">
        <v>38777</v>
      </c>
      <c r="BM81" s="440">
        <v>38808</v>
      </c>
      <c r="BN81" s="440">
        <v>38838</v>
      </c>
      <c r="BO81" s="440">
        <v>38869</v>
      </c>
      <c r="BP81" s="440">
        <v>38899</v>
      </c>
      <c r="BQ81" s="440">
        <v>38930</v>
      </c>
      <c r="BR81" s="440">
        <v>38961</v>
      </c>
      <c r="BS81" s="440">
        <v>38991</v>
      </c>
      <c r="BT81" s="440">
        <v>39022</v>
      </c>
      <c r="BU81" s="440">
        <v>39052</v>
      </c>
      <c r="BV81" s="440">
        <v>39083</v>
      </c>
      <c r="BW81" s="440">
        <v>39114</v>
      </c>
      <c r="BX81" s="440">
        <v>39142</v>
      </c>
      <c r="BY81" s="440">
        <v>39173</v>
      </c>
      <c r="BZ81" s="440">
        <v>39203</v>
      </c>
      <c r="CA81" s="440">
        <v>39234</v>
      </c>
      <c r="CB81" s="440">
        <v>39264</v>
      </c>
      <c r="CC81" s="440">
        <v>39295</v>
      </c>
      <c r="CD81" s="440">
        <v>39326</v>
      </c>
      <c r="CE81" s="440">
        <v>39356</v>
      </c>
      <c r="CF81" s="441">
        <v>39387</v>
      </c>
      <c r="CG81" s="441">
        <v>39417</v>
      </c>
      <c r="CH81" s="441">
        <v>39448</v>
      </c>
      <c r="CI81" s="441">
        <v>39479</v>
      </c>
      <c r="CJ81" s="441">
        <v>39508</v>
      </c>
      <c r="CK81" s="441">
        <v>39539</v>
      </c>
      <c r="CL81" s="441">
        <v>39569</v>
      </c>
      <c r="CM81" s="441">
        <v>39600</v>
      </c>
      <c r="CN81" s="441">
        <v>39630</v>
      </c>
      <c r="CO81" s="441">
        <v>39661</v>
      </c>
      <c r="CP81" s="441">
        <v>39692</v>
      </c>
      <c r="CQ81" s="441">
        <v>39722</v>
      </c>
      <c r="CR81" s="441">
        <v>39753</v>
      </c>
      <c r="CS81" s="441">
        <v>39783</v>
      </c>
      <c r="CT81" s="441">
        <v>39814</v>
      </c>
      <c r="CU81" s="441">
        <v>39845</v>
      </c>
      <c r="CV81" s="441">
        <v>39873</v>
      </c>
      <c r="CW81" s="441">
        <v>39904</v>
      </c>
      <c r="CX81" s="441">
        <v>39934</v>
      </c>
      <c r="CY81" s="441">
        <v>39965</v>
      </c>
      <c r="CZ81" s="441">
        <v>39995</v>
      </c>
      <c r="DA81" s="441">
        <v>40026</v>
      </c>
      <c r="DB81" s="441">
        <v>40057</v>
      </c>
      <c r="DC81" s="441">
        <v>40087</v>
      </c>
      <c r="DD81" s="441">
        <v>40118</v>
      </c>
      <c r="DE81" s="441">
        <v>40148</v>
      </c>
      <c r="DF81" s="441">
        <v>40179</v>
      </c>
      <c r="DG81" s="441">
        <v>40210</v>
      </c>
      <c r="DH81" s="441">
        <v>40238</v>
      </c>
      <c r="DI81" s="441">
        <v>40269</v>
      </c>
      <c r="DJ81" s="441">
        <v>40299</v>
      </c>
      <c r="DK81" s="441">
        <v>40330</v>
      </c>
      <c r="DL81" s="441">
        <v>40360</v>
      </c>
      <c r="DM81" s="441">
        <v>40391</v>
      </c>
      <c r="DN81" s="441">
        <v>40422</v>
      </c>
      <c r="DO81" s="441">
        <v>40452</v>
      </c>
      <c r="DP81" s="441">
        <v>40483</v>
      </c>
      <c r="DQ81" s="441">
        <v>40513</v>
      </c>
      <c r="DR81" s="441">
        <v>40544</v>
      </c>
      <c r="DS81" s="441">
        <v>40575</v>
      </c>
      <c r="DT81" s="441">
        <v>40603</v>
      </c>
      <c r="DU81" s="441">
        <v>40634</v>
      </c>
      <c r="DV81" s="441">
        <v>40664</v>
      </c>
      <c r="DW81" s="441">
        <v>40695</v>
      </c>
      <c r="DX81" s="441">
        <v>40725</v>
      </c>
      <c r="DY81" s="441">
        <v>40756</v>
      </c>
      <c r="DZ81" s="441">
        <v>40787</v>
      </c>
      <c r="EA81" s="441">
        <v>40817</v>
      </c>
      <c r="EB81" s="441">
        <v>40848</v>
      </c>
      <c r="EC81" s="441">
        <v>40878</v>
      </c>
      <c r="ED81" s="441">
        <v>40909</v>
      </c>
      <c r="EE81" s="441">
        <v>40940</v>
      </c>
      <c r="EF81" s="441">
        <v>40969</v>
      </c>
      <c r="EG81" s="441">
        <v>41000</v>
      </c>
      <c r="EH81" s="441">
        <v>41030</v>
      </c>
      <c r="EI81" s="441">
        <v>41061</v>
      </c>
      <c r="EJ81" s="441">
        <v>41091</v>
      </c>
      <c r="EK81" s="441">
        <v>41122</v>
      </c>
      <c r="EL81" s="441">
        <v>41153</v>
      </c>
      <c r="EM81" s="441">
        <v>41183</v>
      </c>
      <c r="EN81" s="441">
        <v>41214</v>
      </c>
      <c r="EO81" s="441">
        <v>41244</v>
      </c>
      <c r="EP81" s="441">
        <v>41275</v>
      </c>
      <c r="EQ81" s="441">
        <v>41306</v>
      </c>
      <c r="ER81" s="441">
        <v>41334</v>
      </c>
      <c r="ES81" s="441">
        <v>41365</v>
      </c>
      <c r="ET81" s="441">
        <v>41395</v>
      </c>
      <c r="EU81" s="441">
        <v>41426</v>
      </c>
      <c r="EV81" s="441">
        <v>41456</v>
      </c>
      <c r="EW81" s="441">
        <v>41487</v>
      </c>
      <c r="EX81" s="441">
        <v>41518</v>
      </c>
      <c r="EY81" s="441">
        <v>41548</v>
      </c>
      <c r="EZ81" s="441">
        <v>41579</v>
      </c>
      <c r="FA81" s="441">
        <v>41609</v>
      </c>
      <c r="FB81" s="441">
        <v>41640</v>
      </c>
      <c r="FC81" s="441">
        <v>41671</v>
      </c>
      <c r="FD81" s="441">
        <v>41699</v>
      </c>
      <c r="FE81" s="441">
        <v>41730</v>
      </c>
      <c r="FF81" s="441">
        <v>41760</v>
      </c>
      <c r="FG81" s="441">
        <v>41791</v>
      </c>
      <c r="FH81" s="441">
        <v>41821</v>
      </c>
      <c r="FI81" s="441">
        <v>41852</v>
      </c>
      <c r="FJ81" s="441">
        <v>41883</v>
      </c>
      <c r="FK81" s="441">
        <v>41913</v>
      </c>
      <c r="FL81" s="441">
        <v>41944</v>
      </c>
      <c r="FM81" s="441">
        <v>41974</v>
      </c>
      <c r="FN81" s="441">
        <v>42005</v>
      </c>
      <c r="FO81" s="441">
        <v>42036</v>
      </c>
      <c r="FP81" s="441">
        <v>42064</v>
      </c>
      <c r="FQ81" s="441">
        <v>42095</v>
      </c>
      <c r="FR81" s="441">
        <v>42125</v>
      </c>
      <c r="FS81" s="441">
        <v>42156</v>
      </c>
      <c r="FT81" s="441">
        <v>42186</v>
      </c>
      <c r="FU81" s="441">
        <v>42217</v>
      </c>
      <c r="FV81" s="441">
        <v>42248</v>
      </c>
      <c r="FW81" s="441">
        <v>42278</v>
      </c>
      <c r="FX81" s="441">
        <v>42309</v>
      </c>
      <c r="FY81" s="441">
        <v>42339</v>
      </c>
      <c r="FZ81" s="441">
        <v>42370</v>
      </c>
      <c r="GA81" s="441">
        <v>42401</v>
      </c>
      <c r="GB81" s="441">
        <v>42430</v>
      </c>
      <c r="GC81" s="441">
        <v>42461</v>
      </c>
      <c r="GD81" s="441">
        <v>42491</v>
      </c>
      <c r="GE81" s="441">
        <v>42522</v>
      </c>
      <c r="GF81" s="441">
        <v>42552</v>
      </c>
      <c r="GG81" s="441">
        <v>42583</v>
      </c>
      <c r="GH81" s="441">
        <v>42614</v>
      </c>
      <c r="GI81" s="441">
        <v>42644</v>
      </c>
      <c r="GJ81" s="441">
        <v>42675</v>
      </c>
      <c r="GK81" s="441">
        <v>42705</v>
      </c>
      <c r="GL81" s="441">
        <v>42736</v>
      </c>
      <c r="GM81" s="441">
        <v>42767</v>
      </c>
      <c r="GN81" s="441">
        <v>42795</v>
      </c>
      <c r="GO81" s="441">
        <v>42826</v>
      </c>
      <c r="GP81" s="441">
        <v>42856</v>
      </c>
      <c r="GQ81" s="441">
        <v>42887</v>
      </c>
      <c r="GR81" s="441">
        <v>42917</v>
      </c>
      <c r="GS81" s="441">
        <v>42948</v>
      </c>
      <c r="GT81" s="441">
        <v>42979</v>
      </c>
      <c r="GU81" s="441">
        <v>43009</v>
      </c>
      <c r="GV81" s="441">
        <v>43040</v>
      </c>
      <c r="GW81" s="441">
        <v>43070</v>
      </c>
      <c r="GX81" s="441">
        <v>43101</v>
      </c>
      <c r="GY81" s="441">
        <v>43132</v>
      </c>
      <c r="GZ81" s="441">
        <v>43160</v>
      </c>
      <c r="HA81" s="441">
        <v>43191</v>
      </c>
      <c r="HB81" s="441">
        <v>43221</v>
      </c>
      <c r="HC81" s="441">
        <v>43252</v>
      </c>
      <c r="HD81" s="441">
        <v>43282</v>
      </c>
      <c r="HE81" s="441">
        <v>43313</v>
      </c>
      <c r="HF81" s="441">
        <v>43344</v>
      </c>
      <c r="HG81" s="441">
        <v>43374</v>
      </c>
      <c r="HH81" s="441">
        <v>43405</v>
      </c>
      <c r="HI81" s="441">
        <v>43435</v>
      </c>
      <c r="HJ81" s="441">
        <v>43466</v>
      </c>
      <c r="HK81" s="441">
        <v>43497</v>
      </c>
      <c r="HL81" s="441">
        <v>43525</v>
      </c>
      <c r="HM81" s="441">
        <v>43556</v>
      </c>
      <c r="HN81" s="441">
        <v>43586</v>
      </c>
      <c r="HO81" s="441">
        <v>43617</v>
      </c>
      <c r="HP81" s="441">
        <v>43647</v>
      </c>
      <c r="HQ81" s="441">
        <v>43678</v>
      </c>
      <c r="HR81" s="441">
        <v>43709</v>
      </c>
      <c r="HS81" s="441">
        <v>43739</v>
      </c>
      <c r="HT81" s="441">
        <v>43770</v>
      </c>
      <c r="HU81" s="441">
        <v>43800</v>
      </c>
      <c r="HV81" s="441">
        <v>43831</v>
      </c>
      <c r="HW81" s="441">
        <v>43862</v>
      </c>
      <c r="HX81" s="441">
        <v>43891</v>
      </c>
      <c r="HY81" s="441">
        <v>43922</v>
      </c>
      <c r="HZ81" s="441">
        <v>43952</v>
      </c>
      <c r="IA81" s="441">
        <v>43983</v>
      </c>
      <c r="IB81" s="441">
        <v>44013</v>
      </c>
      <c r="IC81" s="441">
        <v>44044</v>
      </c>
      <c r="ID81" s="441">
        <v>44075</v>
      </c>
      <c r="IE81" s="441">
        <v>44105</v>
      </c>
      <c r="IF81" s="441">
        <v>44136</v>
      </c>
      <c r="IG81" s="441">
        <v>44166</v>
      </c>
      <c r="IH81" s="441">
        <v>44197</v>
      </c>
      <c r="II81" s="441">
        <v>44228</v>
      </c>
      <c r="IJ81" s="441">
        <v>44256</v>
      </c>
      <c r="IK81" s="441">
        <v>44287</v>
      </c>
      <c r="IL81" s="441">
        <v>44317</v>
      </c>
      <c r="IM81" s="441">
        <v>44348</v>
      </c>
      <c r="IN81" s="441">
        <v>44378</v>
      </c>
      <c r="IO81" s="441">
        <v>44409</v>
      </c>
      <c r="IP81" s="441">
        <v>44440</v>
      </c>
      <c r="IQ81" s="441">
        <v>44470</v>
      </c>
      <c r="IR81" s="441">
        <v>44501</v>
      </c>
      <c r="IS81" s="441">
        <v>44531</v>
      </c>
      <c r="IT81" s="441">
        <v>44562</v>
      </c>
      <c r="IU81" s="441">
        <v>44593</v>
      </c>
      <c r="IV81" s="441">
        <v>44621</v>
      </c>
      <c r="IW81" s="442">
        <v>44713</v>
      </c>
      <c r="IX81" s="442">
        <v>44805</v>
      </c>
      <c r="IY81" s="442">
        <v>44896</v>
      </c>
      <c r="IZ81" s="442">
        <v>44986</v>
      </c>
      <c r="JA81" s="442">
        <v>45078</v>
      </c>
      <c r="JB81" s="442">
        <v>45170</v>
      </c>
      <c r="JC81" s="442">
        <v>45261</v>
      </c>
      <c r="JD81" s="442">
        <v>45352</v>
      </c>
      <c r="JE81" s="443">
        <v>45444</v>
      </c>
    </row>
    <row r="82" spans="1:265" x14ac:dyDescent="0.3">
      <c r="A82" s="469" t="s">
        <v>251</v>
      </c>
      <c r="B82" s="395">
        <v>226.20600000000002</v>
      </c>
      <c r="C82" s="395">
        <v>324.43200000000002</v>
      </c>
      <c r="D82" s="395">
        <v>319.61399999999998</v>
      </c>
      <c r="E82" s="395">
        <v>399.99</v>
      </c>
      <c r="F82" s="395">
        <v>376.15199999999999</v>
      </c>
      <c r="G82" s="395">
        <v>408.39600000000002</v>
      </c>
      <c r="H82" s="395">
        <v>409.67399999999998</v>
      </c>
      <c r="I82" s="395">
        <v>383.50799999999998</v>
      </c>
      <c r="J82" s="395">
        <v>440.87400000000002</v>
      </c>
      <c r="K82" s="395">
        <v>495.27</v>
      </c>
      <c r="L82" s="395">
        <v>464.52</v>
      </c>
      <c r="M82" s="395">
        <v>340.99200000000002</v>
      </c>
      <c r="N82" s="395">
        <v>216.22199999999998</v>
      </c>
      <c r="O82" s="395">
        <v>335.73599999999999</v>
      </c>
      <c r="P82" s="395">
        <v>287.334</v>
      </c>
      <c r="Q82" s="395">
        <v>292.67400000000004</v>
      </c>
      <c r="R82" s="395">
        <v>288.73199999999997</v>
      </c>
      <c r="S82" s="395">
        <v>205.01399999999998</v>
      </c>
      <c r="T82" s="395">
        <v>325.34399999999999</v>
      </c>
      <c r="U82" s="395">
        <v>324.60000000000002</v>
      </c>
      <c r="V82" s="395">
        <v>306</v>
      </c>
      <c r="W82" s="395">
        <v>392.25</v>
      </c>
      <c r="X82" s="395">
        <v>375.23400000000004</v>
      </c>
      <c r="Y82" s="395">
        <v>295.08600000000001</v>
      </c>
      <c r="Z82" s="395">
        <v>215.72399999999999</v>
      </c>
      <c r="AA82" s="395">
        <v>329.70600000000002</v>
      </c>
      <c r="AB82" s="395">
        <v>328.87800000000004</v>
      </c>
      <c r="AC82" s="395">
        <v>314.19600000000003</v>
      </c>
      <c r="AD82" s="395">
        <v>380.84399999999999</v>
      </c>
      <c r="AE82" s="395">
        <v>353.77200000000005</v>
      </c>
      <c r="AF82" s="395">
        <v>365.58</v>
      </c>
      <c r="AG82" s="395">
        <v>368.35200000000003</v>
      </c>
      <c r="AH82" s="395">
        <v>379.548</v>
      </c>
      <c r="AI82" s="395">
        <v>303.65999999999997</v>
      </c>
      <c r="AJ82" s="395">
        <v>299.24400000000003</v>
      </c>
      <c r="AK82" s="395">
        <v>254.79599999999999</v>
      </c>
      <c r="AL82" s="395">
        <v>185.322</v>
      </c>
      <c r="AM82" s="395">
        <v>252.50400000000002</v>
      </c>
      <c r="AN82" s="395">
        <v>252.78000000000003</v>
      </c>
      <c r="AO82" s="395">
        <v>311.92200000000003</v>
      </c>
      <c r="AP82" s="395">
        <v>342.45600000000002</v>
      </c>
      <c r="AQ82" s="395">
        <v>359.18399999999997</v>
      </c>
      <c r="AR82" s="395">
        <v>361.416</v>
      </c>
      <c r="AS82" s="395">
        <v>378.19200000000001</v>
      </c>
      <c r="AT82" s="395">
        <v>375.46199999999999</v>
      </c>
      <c r="AU82" s="395">
        <v>361.404</v>
      </c>
      <c r="AV82" s="395">
        <v>408.75600000000003</v>
      </c>
      <c r="AW82" s="395">
        <v>282.858</v>
      </c>
      <c r="AX82" s="395">
        <v>232.85399999999998</v>
      </c>
      <c r="AY82" s="395">
        <v>283.36799999999999</v>
      </c>
      <c r="AZ82" s="395">
        <v>328.48199999999997</v>
      </c>
      <c r="BA82" s="395">
        <v>337.30799999999999</v>
      </c>
      <c r="BB82" s="395">
        <v>411.40800000000002</v>
      </c>
      <c r="BC82" s="395">
        <v>307.53000000000003</v>
      </c>
      <c r="BD82" s="395">
        <v>385.90800000000002</v>
      </c>
      <c r="BE82" s="395">
        <v>374.87400000000002</v>
      </c>
      <c r="BF82" s="395">
        <v>380.11199999999997</v>
      </c>
      <c r="BG82" s="395">
        <v>365.59199999999998</v>
      </c>
      <c r="BH82" s="395">
        <v>367.10399999999998</v>
      </c>
      <c r="BI82" s="395">
        <v>316.68599999999998</v>
      </c>
      <c r="BJ82" s="395">
        <v>262.12199999999996</v>
      </c>
      <c r="BK82" s="395">
        <v>335.46</v>
      </c>
      <c r="BL82" s="395">
        <v>309.50400000000002</v>
      </c>
      <c r="BM82" s="395">
        <v>422.49</v>
      </c>
      <c r="BN82" s="395">
        <v>435.654</v>
      </c>
      <c r="BO82" s="395">
        <v>495.024</v>
      </c>
      <c r="BP82" s="395">
        <v>467.928</v>
      </c>
      <c r="BQ82" s="395">
        <v>496.25400000000002</v>
      </c>
      <c r="BR82" s="395">
        <v>556.11</v>
      </c>
      <c r="BS82" s="395">
        <v>514.10400000000004</v>
      </c>
      <c r="BT82" s="395">
        <v>501.11400000000003</v>
      </c>
      <c r="BU82" s="395">
        <v>407.37599999999998</v>
      </c>
      <c r="BV82" s="395">
        <v>354.93</v>
      </c>
      <c r="BW82" s="395">
        <v>451.00800000000004</v>
      </c>
      <c r="BX82" s="395">
        <v>454.34400000000005</v>
      </c>
      <c r="BY82" s="395">
        <v>482.298</v>
      </c>
      <c r="BZ82" s="395">
        <v>527.21399999999994</v>
      </c>
      <c r="CA82" s="395">
        <v>544.74</v>
      </c>
      <c r="CB82" s="395">
        <v>579.98400000000004</v>
      </c>
      <c r="CC82" s="395">
        <v>563.346</v>
      </c>
      <c r="CD82" s="395">
        <v>663.33</v>
      </c>
      <c r="CE82" s="395">
        <v>681.3</v>
      </c>
      <c r="CF82" s="395">
        <v>713.56799999999998</v>
      </c>
      <c r="CG82" s="395">
        <v>565.54200000000003</v>
      </c>
      <c r="CH82" s="395">
        <v>538.87199999999996</v>
      </c>
      <c r="CI82" s="395">
        <v>809.89800000000002</v>
      </c>
      <c r="CJ82" s="395">
        <v>863.80799999999999</v>
      </c>
      <c r="CK82" s="395">
        <v>973.66199999999992</v>
      </c>
      <c r="CL82" s="395">
        <v>1001.58</v>
      </c>
      <c r="CM82" s="395">
        <v>990.4380000000001</v>
      </c>
      <c r="CN82" s="395">
        <v>1215.1619999999998</v>
      </c>
      <c r="CO82" s="395">
        <v>1205.2739999999999</v>
      </c>
      <c r="CP82" s="395">
        <v>1216.9859999999999</v>
      </c>
      <c r="CQ82" s="395">
        <v>1277.028</v>
      </c>
      <c r="CR82" s="395">
        <v>1140.768</v>
      </c>
      <c r="CS82" s="395">
        <v>867.40200000000004</v>
      </c>
      <c r="CT82" s="395">
        <v>746.87400000000002</v>
      </c>
      <c r="CU82" s="395">
        <v>985.92</v>
      </c>
      <c r="CV82" s="395">
        <v>1076.8440000000001</v>
      </c>
      <c r="CW82" s="395">
        <v>1051.2719999999999</v>
      </c>
      <c r="CX82" s="395">
        <v>1148.712</v>
      </c>
      <c r="CY82" s="395">
        <v>1172.7359999999999</v>
      </c>
      <c r="CZ82" s="395">
        <v>1281.5820000000001</v>
      </c>
      <c r="DA82" s="395">
        <v>1261.998</v>
      </c>
      <c r="DB82" s="395">
        <v>1190.4780000000001</v>
      </c>
      <c r="DC82" s="395">
        <v>1239.6480000000001</v>
      </c>
      <c r="DD82" s="395">
        <v>1223.856</v>
      </c>
      <c r="DE82" s="395">
        <v>1069.836</v>
      </c>
      <c r="DF82" s="395">
        <v>1003.422</v>
      </c>
      <c r="DG82" s="395">
        <v>1131.1559999999999</v>
      </c>
      <c r="DH82" s="395">
        <v>1304.73</v>
      </c>
      <c r="DI82" s="395">
        <v>1230.9780000000001</v>
      </c>
      <c r="DJ82" s="395">
        <v>1353.7860000000001</v>
      </c>
      <c r="DK82" s="395">
        <v>1365.768</v>
      </c>
      <c r="DL82" s="395">
        <v>1446.9659999999999</v>
      </c>
      <c r="DM82" s="395">
        <v>1488.84</v>
      </c>
      <c r="DN82" s="395">
        <v>1400.07</v>
      </c>
      <c r="DO82" s="395">
        <v>1444.3320000000001</v>
      </c>
      <c r="DP82" s="395">
        <v>1574.346</v>
      </c>
      <c r="DQ82" s="395">
        <v>1366.8119999999999</v>
      </c>
      <c r="DR82" s="395">
        <v>990.73200000000008</v>
      </c>
      <c r="DS82" s="395">
        <v>1020.954</v>
      </c>
      <c r="DT82" s="395">
        <v>1231.854</v>
      </c>
      <c r="DU82" s="395">
        <v>1209.654</v>
      </c>
      <c r="DV82" s="395">
        <v>1350.1559999999999</v>
      </c>
      <c r="DW82" s="395">
        <v>1283.808</v>
      </c>
      <c r="DX82" s="395">
        <v>1345.6979999999999</v>
      </c>
      <c r="DY82" s="395">
        <v>1347.096</v>
      </c>
      <c r="DZ82" s="395">
        <v>1340.2739999999999</v>
      </c>
      <c r="EA82" s="395">
        <v>1380.366</v>
      </c>
      <c r="EB82" s="395">
        <v>1362.606</v>
      </c>
      <c r="EC82" s="395">
        <v>1036.146</v>
      </c>
      <c r="ED82" s="395">
        <v>1001.0699999999999</v>
      </c>
      <c r="EE82" s="395">
        <v>1444.92</v>
      </c>
      <c r="EF82" s="395">
        <v>1544.7840000000001</v>
      </c>
      <c r="EG82" s="395">
        <v>1556.1659999999999</v>
      </c>
      <c r="EH82" s="395">
        <v>1548.2820000000002</v>
      </c>
      <c r="EI82" s="395">
        <v>1502.5919999999999</v>
      </c>
      <c r="EJ82" s="395">
        <v>1398.48</v>
      </c>
      <c r="EK82" s="395">
        <v>1338.6960000000001</v>
      </c>
      <c r="EL82" s="395">
        <v>1108.71</v>
      </c>
      <c r="EM82" s="395">
        <v>1117.9499999999998</v>
      </c>
      <c r="EN82" s="395">
        <v>1052.952</v>
      </c>
      <c r="EO82" s="395">
        <v>689.65199999999993</v>
      </c>
      <c r="EP82" s="395">
        <v>629.02200000000005</v>
      </c>
      <c r="EQ82" s="395">
        <v>740.34</v>
      </c>
      <c r="ER82" s="395">
        <v>846.3119999999999</v>
      </c>
      <c r="ES82" s="395">
        <v>950.02199999999993</v>
      </c>
      <c r="ET82" s="395">
        <v>941.23799999999994</v>
      </c>
      <c r="EU82" s="395">
        <v>865.97400000000005</v>
      </c>
      <c r="EV82" s="395">
        <v>983.74199999999996</v>
      </c>
      <c r="EW82" s="395">
        <v>892.572</v>
      </c>
      <c r="EX82" s="395">
        <v>899.53800000000001</v>
      </c>
      <c r="EY82" s="395">
        <v>957.31799999999998</v>
      </c>
      <c r="EZ82" s="395">
        <v>869.41199999999992</v>
      </c>
      <c r="FA82" s="395">
        <v>595.23599999999999</v>
      </c>
      <c r="FB82" s="395">
        <v>574.5</v>
      </c>
      <c r="FC82" s="395">
        <v>726.61799999999994</v>
      </c>
      <c r="FD82" s="395">
        <v>818.06399999999996</v>
      </c>
      <c r="FE82" s="395">
        <v>849.04200000000003</v>
      </c>
      <c r="FF82" s="395">
        <v>923.69999999999993</v>
      </c>
      <c r="FG82" s="395">
        <v>888.33</v>
      </c>
      <c r="FH82" s="395">
        <v>853.50600000000009</v>
      </c>
      <c r="FI82" s="395">
        <v>790.65600000000006</v>
      </c>
      <c r="FJ82" s="395">
        <v>782.84999999999991</v>
      </c>
      <c r="FK82" s="395">
        <v>821.59199999999987</v>
      </c>
      <c r="FL82" s="395">
        <v>751.21800000000007</v>
      </c>
      <c r="FM82" s="395">
        <v>541.34999999999991</v>
      </c>
      <c r="FN82" s="395">
        <v>520.452</v>
      </c>
      <c r="FO82" s="395">
        <v>564.66600000000005</v>
      </c>
      <c r="FP82" s="395">
        <v>762.21600000000001</v>
      </c>
      <c r="FQ82" s="395">
        <v>745.56600000000003</v>
      </c>
      <c r="FR82" s="395">
        <v>751.24800000000005</v>
      </c>
      <c r="FS82" s="395">
        <v>696.64800000000002</v>
      </c>
      <c r="FT82" s="395">
        <v>712.86599999999999</v>
      </c>
      <c r="FU82" s="395">
        <v>668.04599999999994</v>
      </c>
      <c r="FV82" s="395">
        <v>686.67599999999993</v>
      </c>
      <c r="FW82" s="395">
        <v>651.29999999999995</v>
      </c>
      <c r="FX82" s="395">
        <v>609.63</v>
      </c>
      <c r="FY82" s="395">
        <v>438.34199999999998</v>
      </c>
      <c r="FZ82" s="395">
        <v>442.09800000000007</v>
      </c>
      <c r="GA82" s="395">
        <v>546.35400000000004</v>
      </c>
      <c r="GB82" s="395">
        <v>588.98400000000004</v>
      </c>
      <c r="GC82" s="395">
        <v>602.12400000000002</v>
      </c>
      <c r="GD82" s="395">
        <v>686.952</v>
      </c>
      <c r="GE82" s="395">
        <v>622.69200000000001</v>
      </c>
      <c r="GF82" s="395">
        <v>648.58199999999999</v>
      </c>
      <c r="GG82" s="395">
        <v>719.78399999999999</v>
      </c>
      <c r="GH82" s="395">
        <v>876.01200000000006</v>
      </c>
      <c r="GI82" s="395">
        <v>814.452</v>
      </c>
      <c r="GJ82" s="395">
        <v>789.94200000000001</v>
      </c>
      <c r="GK82" s="395">
        <v>562.38</v>
      </c>
      <c r="GL82" s="395">
        <v>543.66600000000005</v>
      </c>
      <c r="GM82" s="395">
        <v>665.202</v>
      </c>
      <c r="GN82" s="395">
        <v>777.81</v>
      </c>
      <c r="GO82" s="395">
        <v>783.83999999999992</v>
      </c>
      <c r="GP82" s="395">
        <v>842.80799999999999</v>
      </c>
      <c r="GQ82" s="395">
        <v>798.76799999999992</v>
      </c>
      <c r="GR82" s="395">
        <v>744.37199999999996</v>
      </c>
      <c r="GS82" s="395">
        <v>750.66</v>
      </c>
      <c r="GT82" s="395">
        <v>821.83800000000008</v>
      </c>
      <c r="GU82" s="395">
        <v>840.50400000000002</v>
      </c>
      <c r="GV82" s="395">
        <v>833.322</v>
      </c>
      <c r="GW82" s="395">
        <v>642.13799999999992</v>
      </c>
      <c r="GX82" s="395">
        <v>653.86200000000008</v>
      </c>
      <c r="GY82" s="395">
        <v>748.05600000000004</v>
      </c>
      <c r="GZ82" s="395">
        <v>932.84399999999994</v>
      </c>
      <c r="HA82" s="395">
        <v>1002.318</v>
      </c>
      <c r="HB82" s="395">
        <v>1098.2460000000001</v>
      </c>
      <c r="HC82" s="395">
        <v>1061.79</v>
      </c>
      <c r="HD82" s="395">
        <v>1017.222</v>
      </c>
      <c r="HE82" s="395">
        <v>986.79</v>
      </c>
      <c r="HF82" s="395">
        <v>954.62400000000002</v>
      </c>
      <c r="HG82" s="395">
        <v>1032.204</v>
      </c>
      <c r="HH82" s="395">
        <v>991.66799999999989</v>
      </c>
      <c r="HI82" s="395">
        <v>689.5440000000001</v>
      </c>
      <c r="HJ82" s="395">
        <v>692.322</v>
      </c>
      <c r="HK82" s="395">
        <v>754.8</v>
      </c>
      <c r="HL82" s="395">
        <v>897.06600000000003</v>
      </c>
      <c r="HM82" s="395">
        <v>933.58800000000008</v>
      </c>
      <c r="HN82" s="395">
        <v>1085.442</v>
      </c>
      <c r="HO82" s="395">
        <v>1035.4380000000001</v>
      </c>
      <c r="HP82" s="15">
        <v>1040.982</v>
      </c>
      <c r="HQ82" s="15">
        <v>1085.5140000000001</v>
      </c>
      <c r="HR82" s="15">
        <v>1070.0340000000001</v>
      </c>
      <c r="HS82" s="15">
        <v>1122.558</v>
      </c>
      <c r="HT82" s="15">
        <v>1048.4460000000001</v>
      </c>
      <c r="HU82" s="15">
        <v>743.51400000000001</v>
      </c>
      <c r="HV82" s="395">
        <v>743.28</v>
      </c>
      <c r="HW82" s="395">
        <v>897.048</v>
      </c>
      <c r="HX82" s="395">
        <v>1015.914</v>
      </c>
      <c r="HY82" s="395">
        <v>802.58400000000006</v>
      </c>
      <c r="HZ82" s="395">
        <v>1019.46</v>
      </c>
      <c r="IA82" s="395">
        <v>1114.3139999999999</v>
      </c>
      <c r="IB82" s="395">
        <v>1226.5919999999999</v>
      </c>
      <c r="IC82" s="395">
        <v>1211.106</v>
      </c>
      <c r="ID82" s="395">
        <v>1219.5239999999999</v>
      </c>
      <c r="IE82" s="395">
        <v>1232.0219999999999</v>
      </c>
      <c r="IF82" s="395">
        <v>1205.6220000000001</v>
      </c>
      <c r="IG82" s="395">
        <v>893.76600000000008</v>
      </c>
      <c r="IH82" s="395">
        <v>862.00800000000004</v>
      </c>
      <c r="II82" s="395">
        <v>1048.8600000000001</v>
      </c>
      <c r="IJ82" s="395">
        <v>1359.096</v>
      </c>
      <c r="IK82" s="395">
        <v>1328.3820000000001</v>
      </c>
      <c r="IL82" s="395">
        <v>1462.1580000000001</v>
      </c>
      <c r="IM82" s="395">
        <v>1415.2860000000001</v>
      </c>
      <c r="IN82" s="15">
        <v>1421.1179999999999</v>
      </c>
      <c r="IO82" s="15">
        <v>1528.5120000000002</v>
      </c>
      <c r="IP82" s="15">
        <v>1472.97</v>
      </c>
      <c r="IQ82" s="15">
        <v>1513.758</v>
      </c>
      <c r="IR82" s="15">
        <v>1456.3320000000001</v>
      </c>
      <c r="IS82" s="15">
        <v>1015.9559999999999</v>
      </c>
      <c r="IT82" s="15">
        <v>1015.17</v>
      </c>
      <c r="IU82" s="15">
        <v>1256.8799999999999</v>
      </c>
      <c r="IV82" s="15">
        <v>1455.9119999999998</v>
      </c>
      <c r="IW82" s="15">
        <v>1562.9259999999999</v>
      </c>
      <c r="IX82" s="15">
        <v>1770.0419999999999</v>
      </c>
      <c r="IY82" s="15">
        <v>1538.7360000000001</v>
      </c>
      <c r="IZ82" s="15">
        <v>1356.7760000000001</v>
      </c>
      <c r="JA82" s="15">
        <v>1589.4480000000001</v>
      </c>
      <c r="JB82" s="15">
        <v>1714.24</v>
      </c>
      <c r="JC82" s="15">
        <v>1492.7360000000001</v>
      </c>
      <c r="JD82" s="15">
        <v>1294.3440000000001</v>
      </c>
      <c r="JE82" s="447">
        <v>1577.846</v>
      </c>
    </row>
    <row r="83" spans="1:265" x14ac:dyDescent="0.3">
      <c r="A83" s="469" t="s">
        <v>252</v>
      </c>
      <c r="B83" s="444">
        <v>83.76</v>
      </c>
      <c r="C83" s="444">
        <v>141.31200000000001</v>
      </c>
      <c r="D83" s="444">
        <v>175.572</v>
      </c>
      <c r="E83" s="444">
        <v>222.54599999999999</v>
      </c>
      <c r="F83" s="444">
        <v>240.20400000000001</v>
      </c>
      <c r="G83" s="444">
        <v>267.58199999999999</v>
      </c>
      <c r="H83" s="392">
        <v>304.96800000000002</v>
      </c>
      <c r="I83" s="392">
        <v>278.90999999999997</v>
      </c>
      <c r="J83" s="392">
        <v>299.36399999999998</v>
      </c>
      <c r="K83" s="392">
        <v>273.69600000000003</v>
      </c>
      <c r="L83" s="392">
        <v>199.89</v>
      </c>
      <c r="M83" s="392">
        <v>174.036</v>
      </c>
      <c r="N83" s="392">
        <v>107.05199999999999</v>
      </c>
      <c r="O83" s="392">
        <v>129.93</v>
      </c>
      <c r="P83" s="392">
        <v>123.366</v>
      </c>
      <c r="Q83" s="392">
        <v>130.14599999999999</v>
      </c>
      <c r="R83" s="392">
        <v>144.102</v>
      </c>
      <c r="S83" s="392">
        <v>131.94</v>
      </c>
      <c r="T83" s="392">
        <v>198.94199999999998</v>
      </c>
      <c r="U83" s="392">
        <v>201.94800000000001</v>
      </c>
      <c r="V83" s="392">
        <v>193.56</v>
      </c>
      <c r="W83" s="392">
        <v>227.46600000000001</v>
      </c>
      <c r="X83" s="392">
        <v>209.24400000000003</v>
      </c>
      <c r="Y83" s="392">
        <v>128.67600000000002</v>
      </c>
      <c r="Z83" s="392">
        <v>69.989999999999995</v>
      </c>
      <c r="AA83" s="392">
        <v>112.21200000000002</v>
      </c>
      <c r="AB83" s="392">
        <v>132.702</v>
      </c>
      <c r="AC83" s="392">
        <v>135.09</v>
      </c>
      <c r="AD83" s="392">
        <v>178.89000000000001</v>
      </c>
      <c r="AE83" s="392">
        <v>220.21199999999999</v>
      </c>
      <c r="AF83" s="392">
        <v>212.38800000000003</v>
      </c>
      <c r="AG83" s="392">
        <v>195.09</v>
      </c>
      <c r="AH83" s="392">
        <v>173.274</v>
      </c>
      <c r="AI83" s="392">
        <v>166.35599999999999</v>
      </c>
      <c r="AJ83" s="392">
        <v>218.29199999999997</v>
      </c>
      <c r="AK83" s="392">
        <v>127.008</v>
      </c>
      <c r="AL83" s="392">
        <v>203.67599999999999</v>
      </c>
      <c r="AM83" s="392">
        <v>194.86799999999999</v>
      </c>
      <c r="AN83" s="392">
        <v>174.714</v>
      </c>
      <c r="AO83" s="392">
        <v>231.39600000000002</v>
      </c>
      <c r="AP83" s="392">
        <v>353.10599999999999</v>
      </c>
      <c r="AQ83" s="392">
        <v>376.59000000000003</v>
      </c>
      <c r="AR83" s="392">
        <v>371.79599999999999</v>
      </c>
      <c r="AS83" s="392">
        <v>441.76800000000003</v>
      </c>
      <c r="AT83" s="392">
        <v>542.73</v>
      </c>
      <c r="AU83" s="392">
        <v>508.84199999999998</v>
      </c>
      <c r="AV83" s="392">
        <v>550.16999999999996</v>
      </c>
      <c r="AW83" s="392">
        <v>357.27600000000001</v>
      </c>
      <c r="AX83" s="392">
        <v>334.56600000000003</v>
      </c>
      <c r="AY83" s="392">
        <v>395.178</v>
      </c>
      <c r="AZ83" s="392">
        <v>503.346</v>
      </c>
      <c r="BA83" s="392">
        <v>459.87599999999998</v>
      </c>
      <c r="BB83" s="392">
        <v>506.55600000000004</v>
      </c>
      <c r="BC83" s="392">
        <v>448.84800000000007</v>
      </c>
      <c r="BD83" s="392">
        <v>531.97799999999995</v>
      </c>
      <c r="BE83" s="392">
        <v>520.64400000000001</v>
      </c>
      <c r="BF83" s="392">
        <v>587.98800000000006</v>
      </c>
      <c r="BG83" s="392">
        <v>541.23599999999999</v>
      </c>
      <c r="BH83" s="392">
        <v>550.08000000000004</v>
      </c>
      <c r="BI83" s="392">
        <v>332.47799999999995</v>
      </c>
      <c r="BJ83" s="392">
        <v>294.48599999999999</v>
      </c>
      <c r="BK83" s="392">
        <v>337.37400000000002</v>
      </c>
      <c r="BL83" s="392">
        <v>411.78</v>
      </c>
      <c r="BM83" s="392">
        <v>365.238</v>
      </c>
      <c r="BN83" s="392">
        <v>474.23400000000004</v>
      </c>
      <c r="BO83" s="392">
        <v>608.29200000000003</v>
      </c>
      <c r="BP83" s="392">
        <v>699.03600000000006</v>
      </c>
      <c r="BQ83" s="392">
        <v>624.51599999999996</v>
      </c>
      <c r="BR83" s="392">
        <v>738.35400000000004</v>
      </c>
      <c r="BS83" s="392">
        <v>866.84399999999994</v>
      </c>
      <c r="BT83" s="392">
        <v>801.58800000000008</v>
      </c>
      <c r="BU83" s="392">
        <v>431.85599999999999</v>
      </c>
      <c r="BV83" s="392">
        <v>347.34000000000003</v>
      </c>
      <c r="BW83" s="392">
        <v>517.23599999999999</v>
      </c>
      <c r="BX83" s="392">
        <v>619.11</v>
      </c>
      <c r="BY83" s="392">
        <v>710.19600000000003</v>
      </c>
      <c r="BZ83" s="392">
        <v>1069.83</v>
      </c>
      <c r="CA83" s="392">
        <v>1231.296</v>
      </c>
      <c r="CB83" s="392">
        <v>1071.5639999999999</v>
      </c>
      <c r="CC83" s="392">
        <v>1159.3499999999999</v>
      </c>
      <c r="CD83" s="392">
        <v>1305.9179999999999</v>
      </c>
      <c r="CE83" s="392">
        <v>1414.02</v>
      </c>
      <c r="CF83" s="392">
        <v>1481.1659999999999</v>
      </c>
      <c r="CG83" s="392">
        <v>1053.558</v>
      </c>
      <c r="CH83" s="392">
        <v>817.48799999999994</v>
      </c>
      <c r="CI83" s="392">
        <v>1120.7280000000001</v>
      </c>
      <c r="CJ83" s="392">
        <v>1350.5520000000001</v>
      </c>
      <c r="CK83" s="392">
        <v>1444.6679999999999</v>
      </c>
      <c r="CL83" s="392">
        <v>1413.0720000000001</v>
      </c>
      <c r="CM83" s="392">
        <v>1648.578</v>
      </c>
      <c r="CN83" s="392">
        <v>1799.6100000000001</v>
      </c>
      <c r="CO83" s="392">
        <v>1998.7859999999998</v>
      </c>
      <c r="CP83" s="392">
        <v>1905.8820000000001</v>
      </c>
      <c r="CQ83" s="392">
        <v>1933.1399999999999</v>
      </c>
      <c r="CR83" s="392">
        <v>1769.5259999999998</v>
      </c>
      <c r="CS83" s="392">
        <v>1380.252</v>
      </c>
      <c r="CT83" s="392">
        <v>528.45000000000005</v>
      </c>
      <c r="CU83" s="392">
        <v>656.24399999999991</v>
      </c>
      <c r="CV83" s="392">
        <v>757.33799999999997</v>
      </c>
      <c r="CW83" s="392">
        <v>914.62799999999993</v>
      </c>
      <c r="CX83" s="392">
        <v>1109.9460000000001</v>
      </c>
      <c r="CY83" s="392">
        <v>1157.31</v>
      </c>
      <c r="CZ83" s="392">
        <v>1392.21</v>
      </c>
      <c r="DA83" s="392">
        <v>1404.366</v>
      </c>
      <c r="DB83" s="392">
        <v>1603.5</v>
      </c>
      <c r="DC83" s="392">
        <v>1848.492</v>
      </c>
      <c r="DD83" s="392">
        <v>1864.098</v>
      </c>
      <c r="DE83" s="392">
        <v>1389.6420000000001</v>
      </c>
      <c r="DF83" s="392">
        <v>969.58800000000008</v>
      </c>
      <c r="DG83" s="392">
        <v>1383.5940000000001</v>
      </c>
      <c r="DH83" s="392">
        <v>1635.6119999999999</v>
      </c>
      <c r="DI83" s="392">
        <v>1931.8980000000001</v>
      </c>
      <c r="DJ83" s="392">
        <v>2041.59</v>
      </c>
      <c r="DK83" s="392">
        <v>2132.9580000000001</v>
      </c>
      <c r="DL83" s="392">
        <v>2222.712</v>
      </c>
      <c r="DM83" s="392">
        <v>2160.4740000000002</v>
      </c>
      <c r="DN83" s="392">
        <v>2220.636</v>
      </c>
      <c r="DO83" s="392">
        <v>2280.1379999999999</v>
      </c>
      <c r="DP83" s="392">
        <v>2403.3959999999997</v>
      </c>
      <c r="DQ83" s="392">
        <v>1580.598</v>
      </c>
      <c r="DR83" s="392">
        <v>1244.124</v>
      </c>
      <c r="DS83" s="392">
        <v>1511.6279999999999</v>
      </c>
      <c r="DT83" s="392">
        <v>2073.9180000000001</v>
      </c>
      <c r="DU83" s="392">
        <v>2391.9119999999998</v>
      </c>
      <c r="DV83" s="392">
        <v>2559.7259999999997</v>
      </c>
      <c r="DW83" s="392">
        <v>2738.61</v>
      </c>
      <c r="DX83" s="392">
        <v>2629.02</v>
      </c>
      <c r="DY83" s="392">
        <v>2797.6980000000003</v>
      </c>
      <c r="DZ83" s="392">
        <v>2864.6040000000003</v>
      </c>
      <c r="EA83" s="392">
        <v>3064.89</v>
      </c>
      <c r="EB83" s="392">
        <v>3164.13</v>
      </c>
      <c r="EC83" s="392">
        <v>1996.134</v>
      </c>
      <c r="ED83" s="392">
        <v>1301.682</v>
      </c>
      <c r="EE83" s="392">
        <v>2539.7640000000001</v>
      </c>
      <c r="EF83" s="392">
        <v>2533.1819999999998</v>
      </c>
      <c r="EG83" s="392">
        <v>2659.8959999999997</v>
      </c>
      <c r="EH83" s="392">
        <v>2849.5739999999996</v>
      </c>
      <c r="EI83" s="392">
        <v>2636.076</v>
      </c>
      <c r="EJ83" s="392">
        <v>2626.6499999999996</v>
      </c>
      <c r="EK83" s="392">
        <v>2586.288</v>
      </c>
      <c r="EL83" s="392">
        <v>2303.8679999999999</v>
      </c>
      <c r="EM83" s="392">
        <v>2075.8500000000004</v>
      </c>
      <c r="EN83" s="392">
        <v>1984.674</v>
      </c>
      <c r="EO83" s="392">
        <v>1189.038</v>
      </c>
      <c r="EP83" s="392">
        <v>731.36400000000003</v>
      </c>
      <c r="EQ83" s="392">
        <v>1290.5940000000001</v>
      </c>
      <c r="ER83" s="392">
        <v>1389.7260000000001</v>
      </c>
      <c r="ES83" s="392">
        <v>1636.002</v>
      </c>
      <c r="ET83" s="392">
        <v>1718.808</v>
      </c>
      <c r="EU83" s="392">
        <v>1654.1999999999998</v>
      </c>
      <c r="EV83" s="392">
        <v>1581.3540000000003</v>
      </c>
      <c r="EW83" s="392">
        <v>1722.3239999999998</v>
      </c>
      <c r="EX83" s="392">
        <v>1940.8019999999999</v>
      </c>
      <c r="EY83" s="392">
        <v>1906.7820000000002</v>
      </c>
      <c r="EZ83" s="392">
        <v>1966.7400000000002</v>
      </c>
      <c r="FA83" s="392">
        <v>1125.54</v>
      </c>
      <c r="FB83" s="392">
        <v>705.44399999999996</v>
      </c>
      <c r="FC83" s="392">
        <v>1102.596</v>
      </c>
      <c r="FD83" s="392">
        <v>1425.414</v>
      </c>
      <c r="FE83" s="392">
        <v>1615.3920000000003</v>
      </c>
      <c r="FF83" s="392">
        <v>1819.4339999999997</v>
      </c>
      <c r="FG83" s="392">
        <v>1771.2840000000001</v>
      </c>
      <c r="FH83" s="392">
        <v>1668.7080000000001</v>
      </c>
      <c r="FI83" s="392">
        <v>1567.578</v>
      </c>
      <c r="FJ83" s="392">
        <v>1673.2379999999998</v>
      </c>
      <c r="FK83" s="392">
        <v>1716.9059999999999</v>
      </c>
      <c r="FL83" s="392">
        <v>1740.1860000000001</v>
      </c>
      <c r="FM83" s="392">
        <v>878.53199999999993</v>
      </c>
      <c r="FN83" s="392">
        <v>497.964</v>
      </c>
      <c r="FO83" s="392">
        <v>869.37599999999998</v>
      </c>
      <c r="FP83" s="392">
        <v>1256.4780000000001</v>
      </c>
      <c r="FQ83" s="392">
        <v>1261.5239999999999</v>
      </c>
      <c r="FR83" s="392">
        <v>1215.5639999999999</v>
      </c>
      <c r="FS83" s="392">
        <v>1337.5619999999999</v>
      </c>
      <c r="FT83" s="392">
        <v>1436.076</v>
      </c>
      <c r="FU83" s="392">
        <v>1545.1499999999999</v>
      </c>
      <c r="FV83" s="392">
        <v>1521.72</v>
      </c>
      <c r="FW83" s="392">
        <v>1492.0319999999999</v>
      </c>
      <c r="FX83" s="392">
        <v>1588.5359999999998</v>
      </c>
      <c r="FY83" s="392">
        <v>970.64400000000001</v>
      </c>
      <c r="FZ83" s="392">
        <v>466.69799999999998</v>
      </c>
      <c r="GA83" s="392">
        <v>999.37799999999993</v>
      </c>
      <c r="GB83" s="392">
        <v>1293.4680000000001</v>
      </c>
      <c r="GC83" s="392">
        <v>1408.3620000000001</v>
      </c>
      <c r="GD83" s="392">
        <v>1417.098</v>
      </c>
      <c r="GE83" s="392">
        <v>1283.0520000000001</v>
      </c>
      <c r="GF83" s="392">
        <v>1241.3820000000001</v>
      </c>
      <c r="GG83" s="392">
        <v>1549.8000000000002</v>
      </c>
      <c r="GH83" s="392">
        <v>1529.9460000000001</v>
      </c>
      <c r="GI83" s="392">
        <v>1603.596</v>
      </c>
      <c r="GJ83" s="392">
        <v>1671.318</v>
      </c>
      <c r="GK83" s="392">
        <v>865.94999999999993</v>
      </c>
      <c r="GL83" s="392">
        <v>422.18400000000003</v>
      </c>
      <c r="GM83" s="392">
        <v>956.19600000000014</v>
      </c>
      <c r="GN83" s="392">
        <v>1253.5740000000001</v>
      </c>
      <c r="GO83" s="392">
        <v>1448.8920000000001</v>
      </c>
      <c r="GP83" s="392">
        <v>1761.87</v>
      </c>
      <c r="GQ83" s="392">
        <v>1653.06</v>
      </c>
      <c r="GR83" s="392">
        <v>1669.08</v>
      </c>
      <c r="GS83" s="392">
        <v>1639.41</v>
      </c>
      <c r="GT83" s="392">
        <v>1757.28</v>
      </c>
      <c r="GU83" s="392">
        <v>1799.2979999999998</v>
      </c>
      <c r="GV83" s="392">
        <v>1859.8980000000001</v>
      </c>
      <c r="GW83" s="392">
        <v>1113.33</v>
      </c>
      <c r="GX83" s="392">
        <v>675.67200000000003</v>
      </c>
      <c r="GY83" s="392">
        <v>1383.306</v>
      </c>
      <c r="GZ83" s="392">
        <v>1735.98</v>
      </c>
      <c r="HA83" s="392">
        <v>1997.19</v>
      </c>
      <c r="HB83" s="392">
        <v>2129.73</v>
      </c>
      <c r="HC83" s="392">
        <v>1964.46</v>
      </c>
      <c r="HD83" s="392">
        <v>1861.4279999999999</v>
      </c>
      <c r="HE83" s="392">
        <v>1923.9839999999999</v>
      </c>
      <c r="HF83" s="392">
        <v>1926.4499999999998</v>
      </c>
      <c r="HG83" s="392">
        <v>2138.3579999999997</v>
      </c>
      <c r="HH83" s="392">
        <v>2021.7599999999998</v>
      </c>
      <c r="HI83" s="392">
        <v>1201.77</v>
      </c>
      <c r="HJ83" s="392">
        <v>953.76</v>
      </c>
      <c r="HK83" s="392">
        <v>1531.8899999999999</v>
      </c>
      <c r="HL83" s="392">
        <v>2062.2599999999998</v>
      </c>
      <c r="HM83" s="392">
        <v>2347.404</v>
      </c>
      <c r="HN83" s="392">
        <v>2593.578</v>
      </c>
      <c r="HO83" s="392">
        <v>2671.944</v>
      </c>
      <c r="HP83" s="392">
        <v>2684.7359999999999</v>
      </c>
      <c r="HQ83" s="392">
        <v>2828.0819999999999</v>
      </c>
      <c r="HR83" s="392">
        <v>2771.0039999999999</v>
      </c>
      <c r="HS83" s="392">
        <v>2786.9160000000002</v>
      </c>
      <c r="HT83" s="392">
        <v>2749.1819999999998</v>
      </c>
      <c r="HU83" s="392">
        <v>1656.96</v>
      </c>
      <c r="HV83" s="392">
        <v>1293.5160000000001</v>
      </c>
      <c r="HW83" s="392">
        <v>2182.3319999999999</v>
      </c>
      <c r="HX83" s="392">
        <v>2648.172</v>
      </c>
      <c r="HY83" s="392">
        <v>2071.386</v>
      </c>
      <c r="HZ83" s="392">
        <v>2312.3820000000001</v>
      </c>
      <c r="IA83" s="392">
        <v>2568.4560000000001</v>
      </c>
      <c r="IB83" s="392">
        <v>2960.0099999999998</v>
      </c>
      <c r="IC83" s="392">
        <v>3069.48</v>
      </c>
      <c r="ID83" s="392">
        <v>3107.6880000000001</v>
      </c>
      <c r="IE83" s="392">
        <v>3291.2999999999997</v>
      </c>
      <c r="IF83" s="392">
        <v>3159.1080000000002</v>
      </c>
      <c r="IG83" s="392">
        <v>2062.5240000000003</v>
      </c>
      <c r="IH83" s="392">
        <v>1709.328</v>
      </c>
      <c r="II83" s="392">
        <v>2298.48</v>
      </c>
      <c r="IJ83" s="392">
        <v>3292.5480000000002</v>
      </c>
      <c r="IK83" s="392">
        <v>3424.3140000000003</v>
      </c>
      <c r="IL83" s="392">
        <v>3558.66</v>
      </c>
      <c r="IM83" s="392">
        <v>3637.7939999999999</v>
      </c>
      <c r="IN83" s="444">
        <v>3602.6880000000001</v>
      </c>
      <c r="IO83" s="444">
        <v>3789.4139999999998</v>
      </c>
      <c r="IP83" s="444">
        <v>3815.2200000000003</v>
      </c>
      <c r="IQ83" s="444">
        <v>3954.75</v>
      </c>
      <c r="IR83" s="444">
        <v>3834.6660000000002</v>
      </c>
      <c r="IS83" s="444">
        <v>2288.652</v>
      </c>
      <c r="IT83" s="444">
        <v>2030.25</v>
      </c>
      <c r="IU83" s="444">
        <v>2531.73</v>
      </c>
      <c r="IV83" s="444">
        <v>3177.6959999999999</v>
      </c>
      <c r="IW83" s="445">
        <v>3456.85</v>
      </c>
      <c r="IX83" s="445">
        <v>3224.9859999999999</v>
      </c>
      <c r="IY83" s="445">
        <v>2843.6419999999998</v>
      </c>
      <c r="IZ83" s="445">
        <v>1953.4739999999999</v>
      </c>
      <c r="JA83" s="445">
        <v>2545.6660000000002</v>
      </c>
      <c r="JB83" s="445">
        <v>2737.846</v>
      </c>
      <c r="JC83" s="445">
        <v>2466.8000000000002</v>
      </c>
      <c r="JD83" s="445">
        <v>2313.8820000000001</v>
      </c>
      <c r="JE83" s="446">
        <v>3052.9380000000001</v>
      </c>
    </row>
    <row r="84" spans="1:265" ht="15" thickBot="1" x14ac:dyDescent="0.35">
      <c r="A84" s="470" t="s">
        <v>117</v>
      </c>
      <c r="B84" s="471">
        <v>309.96600000000001</v>
      </c>
      <c r="C84" s="471">
        <v>465.74399999999997</v>
      </c>
      <c r="D84" s="471">
        <v>495.18600000000004</v>
      </c>
      <c r="E84" s="471">
        <v>622.53600000000006</v>
      </c>
      <c r="F84" s="471">
        <v>616.35599999999999</v>
      </c>
      <c r="G84" s="471">
        <v>675.97799999999995</v>
      </c>
      <c r="H84" s="471">
        <v>714.64200000000005</v>
      </c>
      <c r="I84" s="471">
        <v>662.41800000000001</v>
      </c>
      <c r="J84" s="471">
        <v>740.23800000000006</v>
      </c>
      <c r="K84" s="471">
        <v>768.96600000000001</v>
      </c>
      <c r="L84" s="471">
        <v>664.41</v>
      </c>
      <c r="M84" s="471">
        <v>515.02800000000002</v>
      </c>
      <c r="N84" s="471">
        <v>323.274</v>
      </c>
      <c r="O84" s="471">
        <v>465.66600000000005</v>
      </c>
      <c r="P84" s="471">
        <v>410.70000000000005</v>
      </c>
      <c r="Q84" s="471">
        <v>422.82</v>
      </c>
      <c r="R84" s="471">
        <v>432.83399999999995</v>
      </c>
      <c r="S84" s="471">
        <v>336.95400000000001</v>
      </c>
      <c r="T84" s="471">
        <v>524.28600000000006</v>
      </c>
      <c r="U84" s="471">
        <v>526.548</v>
      </c>
      <c r="V84" s="471">
        <v>499.56000000000006</v>
      </c>
      <c r="W84" s="471">
        <v>619.71600000000001</v>
      </c>
      <c r="X84" s="471">
        <v>584.47799999999995</v>
      </c>
      <c r="Y84" s="471">
        <v>423.76199999999994</v>
      </c>
      <c r="Z84" s="471">
        <v>285.714</v>
      </c>
      <c r="AA84" s="471">
        <v>441.91800000000001</v>
      </c>
      <c r="AB84" s="471">
        <v>461.58000000000004</v>
      </c>
      <c r="AC84" s="471">
        <v>449.286</v>
      </c>
      <c r="AD84" s="471">
        <v>559.73400000000004</v>
      </c>
      <c r="AE84" s="471">
        <v>573.98400000000004</v>
      </c>
      <c r="AF84" s="471">
        <v>577.96800000000007</v>
      </c>
      <c r="AG84" s="471">
        <v>563.44200000000001</v>
      </c>
      <c r="AH84" s="471">
        <v>552.822</v>
      </c>
      <c r="AI84" s="471">
        <v>470.01599999999996</v>
      </c>
      <c r="AJ84" s="471">
        <v>517.53600000000006</v>
      </c>
      <c r="AK84" s="471">
        <v>381.80399999999997</v>
      </c>
      <c r="AL84" s="471">
        <v>388.99799999999999</v>
      </c>
      <c r="AM84" s="471">
        <v>447.37199999999996</v>
      </c>
      <c r="AN84" s="471">
        <v>427.49399999999997</v>
      </c>
      <c r="AO84" s="471">
        <v>543.31799999999998</v>
      </c>
      <c r="AP84" s="471">
        <v>695.56200000000001</v>
      </c>
      <c r="AQ84" s="471">
        <v>735.774</v>
      </c>
      <c r="AR84" s="471">
        <v>733.21199999999999</v>
      </c>
      <c r="AS84" s="471">
        <v>819.96</v>
      </c>
      <c r="AT84" s="471">
        <v>918.19200000000001</v>
      </c>
      <c r="AU84" s="471">
        <v>870.24599999999998</v>
      </c>
      <c r="AV84" s="471">
        <v>958.92599999999993</v>
      </c>
      <c r="AW84" s="471">
        <v>640.13400000000001</v>
      </c>
      <c r="AX84" s="471">
        <v>567.41999999999996</v>
      </c>
      <c r="AY84" s="471">
        <v>678.54599999999994</v>
      </c>
      <c r="AZ84" s="471">
        <v>831.82799999999997</v>
      </c>
      <c r="BA84" s="471">
        <v>797.18399999999997</v>
      </c>
      <c r="BB84" s="471">
        <v>917.96399999999994</v>
      </c>
      <c r="BC84" s="471">
        <v>756.37800000000004</v>
      </c>
      <c r="BD84" s="471">
        <v>917.88599999999997</v>
      </c>
      <c r="BE84" s="471">
        <v>895.51799999999992</v>
      </c>
      <c r="BF84" s="471">
        <v>968.09999999999991</v>
      </c>
      <c r="BG84" s="471">
        <v>906.82799999999997</v>
      </c>
      <c r="BH84" s="471">
        <v>917.18399999999997</v>
      </c>
      <c r="BI84" s="471">
        <v>649.16399999999999</v>
      </c>
      <c r="BJ84" s="471">
        <v>556.60799999999995</v>
      </c>
      <c r="BK84" s="471">
        <v>672.83399999999995</v>
      </c>
      <c r="BL84" s="471">
        <v>721.28399999999999</v>
      </c>
      <c r="BM84" s="471">
        <v>787.72800000000007</v>
      </c>
      <c r="BN84" s="471">
        <v>909.88799999999992</v>
      </c>
      <c r="BO84" s="471">
        <v>1103.316</v>
      </c>
      <c r="BP84" s="471">
        <v>1166.9639999999999</v>
      </c>
      <c r="BQ84" s="471">
        <v>1120.77</v>
      </c>
      <c r="BR84" s="471">
        <v>1294.4639999999999</v>
      </c>
      <c r="BS84" s="471">
        <v>1380.9479999999999</v>
      </c>
      <c r="BT84" s="471">
        <v>1302.702</v>
      </c>
      <c r="BU84" s="471">
        <v>839.23200000000008</v>
      </c>
      <c r="BV84" s="471">
        <v>702.27</v>
      </c>
      <c r="BW84" s="471">
        <v>968.24399999999991</v>
      </c>
      <c r="BX84" s="471">
        <v>1073.454</v>
      </c>
      <c r="BY84" s="471">
        <v>1192.4939999999999</v>
      </c>
      <c r="BZ84" s="471">
        <v>1597.0439999999999</v>
      </c>
      <c r="CA84" s="471">
        <v>1776.0359999999998</v>
      </c>
      <c r="CB84" s="471">
        <v>1651.5479999999998</v>
      </c>
      <c r="CC84" s="471">
        <v>1722.6959999999999</v>
      </c>
      <c r="CD84" s="471">
        <v>1969.248</v>
      </c>
      <c r="CE84" s="471">
        <v>2095.3200000000002</v>
      </c>
      <c r="CF84" s="471">
        <v>2194.7339999999999</v>
      </c>
      <c r="CG84" s="471">
        <v>1619.1000000000001</v>
      </c>
      <c r="CH84" s="471">
        <v>1356.3600000000001</v>
      </c>
      <c r="CI84" s="471">
        <v>1930.6260000000002</v>
      </c>
      <c r="CJ84" s="471">
        <v>2214.36</v>
      </c>
      <c r="CK84" s="471">
        <v>2418.33</v>
      </c>
      <c r="CL84" s="471">
        <v>2414.652</v>
      </c>
      <c r="CM84" s="471">
        <v>2639.0160000000001</v>
      </c>
      <c r="CN84" s="471">
        <v>3014.7719999999999</v>
      </c>
      <c r="CO84" s="471">
        <v>3204.06</v>
      </c>
      <c r="CP84" s="471">
        <v>3122.8679999999995</v>
      </c>
      <c r="CQ84" s="471">
        <v>3210.1680000000001</v>
      </c>
      <c r="CR84" s="471">
        <v>2910.2939999999999</v>
      </c>
      <c r="CS84" s="471">
        <v>2247.654</v>
      </c>
      <c r="CT84" s="471">
        <v>1275.3240000000001</v>
      </c>
      <c r="CU84" s="471">
        <v>1642.1640000000002</v>
      </c>
      <c r="CV84" s="471">
        <v>1834.182</v>
      </c>
      <c r="CW84" s="471">
        <v>1965.8999999999999</v>
      </c>
      <c r="CX84" s="471">
        <v>2258.6579999999999</v>
      </c>
      <c r="CY84" s="471">
        <v>2330.0460000000003</v>
      </c>
      <c r="CZ84" s="471">
        <v>2673.7919999999999</v>
      </c>
      <c r="DA84" s="471">
        <v>2666.364</v>
      </c>
      <c r="DB84" s="471">
        <v>2793.9780000000001</v>
      </c>
      <c r="DC84" s="471">
        <v>3088.1400000000003</v>
      </c>
      <c r="DD84" s="471">
        <v>3087.9539999999997</v>
      </c>
      <c r="DE84" s="471">
        <v>2459.4780000000001</v>
      </c>
      <c r="DF84" s="471">
        <v>1973.0099999999998</v>
      </c>
      <c r="DG84" s="471">
        <v>2514.75</v>
      </c>
      <c r="DH84" s="471">
        <v>2940.3420000000001</v>
      </c>
      <c r="DI84" s="471">
        <v>3162.8759999999997</v>
      </c>
      <c r="DJ84" s="471">
        <v>3395.3759999999997</v>
      </c>
      <c r="DK84" s="471">
        <v>3498.7259999999997</v>
      </c>
      <c r="DL84" s="471">
        <v>3669.6780000000003</v>
      </c>
      <c r="DM84" s="471">
        <v>3649.3140000000003</v>
      </c>
      <c r="DN84" s="471">
        <v>3620.7060000000001</v>
      </c>
      <c r="DO84" s="471">
        <v>3724.4700000000003</v>
      </c>
      <c r="DP84" s="471">
        <v>3977.7420000000002</v>
      </c>
      <c r="DQ84" s="471">
        <v>2947.41</v>
      </c>
      <c r="DR84" s="471">
        <v>2234.8559999999998</v>
      </c>
      <c r="DS84" s="471">
        <v>2532.5819999999999</v>
      </c>
      <c r="DT84" s="471">
        <v>3305.7719999999999</v>
      </c>
      <c r="DU84" s="471">
        <v>3601.5659999999998</v>
      </c>
      <c r="DV84" s="471">
        <v>3909.8820000000005</v>
      </c>
      <c r="DW84" s="471">
        <v>4022.4180000000001</v>
      </c>
      <c r="DX84" s="471">
        <v>3974.7179999999998</v>
      </c>
      <c r="DY84" s="471">
        <v>4144.7939999999999</v>
      </c>
      <c r="DZ84" s="471">
        <v>4204.8779999999997</v>
      </c>
      <c r="EA84" s="471">
        <v>4445.2559999999994</v>
      </c>
      <c r="EB84" s="471">
        <v>4526.7359999999999</v>
      </c>
      <c r="EC84" s="471">
        <v>3032.2799999999997</v>
      </c>
      <c r="ED84" s="471">
        <v>2302.752</v>
      </c>
      <c r="EE84" s="471">
        <v>3984.6840000000002</v>
      </c>
      <c r="EF84" s="471">
        <v>4077.9659999999994</v>
      </c>
      <c r="EG84" s="471">
        <v>4216.0619999999999</v>
      </c>
      <c r="EH84" s="471">
        <v>4397.8559999999998</v>
      </c>
      <c r="EI84" s="471">
        <v>4138.6679999999997</v>
      </c>
      <c r="EJ84" s="471">
        <v>4025.13</v>
      </c>
      <c r="EK84" s="471">
        <v>3924.9839999999999</v>
      </c>
      <c r="EL84" s="471">
        <v>3412.5780000000004</v>
      </c>
      <c r="EM84" s="471">
        <v>3193.7999999999997</v>
      </c>
      <c r="EN84" s="471">
        <v>3037.6260000000002</v>
      </c>
      <c r="EO84" s="471">
        <v>1878.69</v>
      </c>
      <c r="EP84" s="471">
        <v>1360.386</v>
      </c>
      <c r="EQ84" s="471">
        <v>2030.9339999999997</v>
      </c>
      <c r="ER84" s="471">
        <v>2236.038</v>
      </c>
      <c r="ES84" s="471">
        <v>2586.0240000000003</v>
      </c>
      <c r="ET84" s="471">
        <v>2660.0460000000003</v>
      </c>
      <c r="EU84" s="471">
        <v>2520.174</v>
      </c>
      <c r="EV84" s="471">
        <v>2565.096</v>
      </c>
      <c r="EW84" s="471">
        <v>2614.8959999999997</v>
      </c>
      <c r="EX84" s="471">
        <v>2840.34</v>
      </c>
      <c r="EY84" s="471">
        <v>2864.1000000000004</v>
      </c>
      <c r="EZ84" s="471">
        <v>2836.152</v>
      </c>
      <c r="FA84" s="471">
        <v>1720.7759999999998</v>
      </c>
      <c r="FB84" s="471">
        <v>1279.944</v>
      </c>
      <c r="FC84" s="471">
        <v>1829.2140000000002</v>
      </c>
      <c r="FD84" s="471">
        <v>2243.4780000000001</v>
      </c>
      <c r="FE84" s="471">
        <v>2464.4339999999997</v>
      </c>
      <c r="FF84" s="471">
        <v>2743.134</v>
      </c>
      <c r="FG84" s="471">
        <v>2659.614</v>
      </c>
      <c r="FH84" s="471">
        <v>2522.2139999999999</v>
      </c>
      <c r="FI84" s="471">
        <v>2358.2339999999999</v>
      </c>
      <c r="FJ84" s="471">
        <v>2456.0880000000002</v>
      </c>
      <c r="FK84" s="471">
        <v>2538.498</v>
      </c>
      <c r="FL84" s="471">
        <v>2491.404</v>
      </c>
      <c r="FM84" s="471">
        <v>1419.8820000000001</v>
      </c>
      <c r="FN84" s="471">
        <v>1018.4159999999999</v>
      </c>
      <c r="FO84" s="471">
        <v>1434.0419999999999</v>
      </c>
      <c r="FP84" s="471">
        <v>2018.694</v>
      </c>
      <c r="FQ84" s="471">
        <v>2007.09</v>
      </c>
      <c r="FR84" s="471">
        <v>1966.8120000000001</v>
      </c>
      <c r="FS84" s="471">
        <v>2034.21</v>
      </c>
      <c r="FT84" s="471">
        <v>2148.942</v>
      </c>
      <c r="FU84" s="471">
        <v>2213.1959999999999</v>
      </c>
      <c r="FV84" s="471">
        <v>2208.3959999999997</v>
      </c>
      <c r="FW84" s="471">
        <v>2143.3319999999999</v>
      </c>
      <c r="FX84" s="471">
        <v>2198.1660000000002</v>
      </c>
      <c r="FY84" s="471">
        <v>1408.9859999999999</v>
      </c>
      <c r="FZ84" s="471">
        <v>908.79600000000005</v>
      </c>
      <c r="GA84" s="471">
        <v>1545.732</v>
      </c>
      <c r="GB84" s="471">
        <v>1882.4520000000002</v>
      </c>
      <c r="GC84" s="471">
        <v>2010.4860000000001</v>
      </c>
      <c r="GD84" s="471">
        <v>2104.0500000000002</v>
      </c>
      <c r="GE84" s="471">
        <v>1905.7440000000001</v>
      </c>
      <c r="GF84" s="471">
        <v>1889.9640000000002</v>
      </c>
      <c r="GG84" s="471">
        <v>2269.5839999999998</v>
      </c>
      <c r="GH84" s="471">
        <v>2405.9580000000001</v>
      </c>
      <c r="GI84" s="471">
        <v>2418.0479999999998</v>
      </c>
      <c r="GJ84" s="471">
        <v>2461.2599999999998</v>
      </c>
      <c r="GK84" s="471">
        <v>1428.33</v>
      </c>
      <c r="GL84" s="471">
        <v>965.84999999999991</v>
      </c>
      <c r="GM84" s="471">
        <v>1621.3980000000001</v>
      </c>
      <c r="GN84" s="471">
        <v>2031.384</v>
      </c>
      <c r="GO84" s="471">
        <v>2232.732</v>
      </c>
      <c r="GP84" s="471">
        <v>2604.6779999999999</v>
      </c>
      <c r="GQ84" s="471">
        <v>2451.828</v>
      </c>
      <c r="GR84" s="471">
        <v>2413.4520000000002</v>
      </c>
      <c r="GS84" s="471">
        <v>2390.0700000000002</v>
      </c>
      <c r="GT84" s="471">
        <v>2579.1179999999999</v>
      </c>
      <c r="GU84" s="471">
        <v>2639.8019999999997</v>
      </c>
      <c r="GV84" s="471">
        <v>2693.2200000000003</v>
      </c>
      <c r="GW84" s="471">
        <v>1755.4679999999998</v>
      </c>
      <c r="GX84" s="471">
        <v>1329.5340000000001</v>
      </c>
      <c r="GY84" s="471">
        <v>2131.3620000000001</v>
      </c>
      <c r="GZ84" s="471">
        <v>2668.8239999999996</v>
      </c>
      <c r="HA84" s="471">
        <v>2999.5079999999998</v>
      </c>
      <c r="HB84" s="471">
        <v>3227.9759999999997</v>
      </c>
      <c r="HC84" s="471">
        <v>3026.25</v>
      </c>
      <c r="HD84" s="471">
        <v>2878.6499999999996</v>
      </c>
      <c r="HE84" s="471">
        <v>2910.7740000000003</v>
      </c>
      <c r="HF84" s="471">
        <v>2881.0739999999996</v>
      </c>
      <c r="HG84" s="471">
        <v>3170.5619999999999</v>
      </c>
      <c r="HH84" s="471">
        <v>3013.4279999999999</v>
      </c>
      <c r="HI84" s="471">
        <v>1891.3139999999999</v>
      </c>
      <c r="HJ84" s="471">
        <v>1646.0819999999999</v>
      </c>
      <c r="HK84" s="471">
        <v>2286.69</v>
      </c>
      <c r="HL84" s="471">
        <v>2959.326</v>
      </c>
      <c r="HM84" s="471">
        <v>3280.9920000000002</v>
      </c>
      <c r="HN84" s="471">
        <v>3679.0199999999995</v>
      </c>
      <c r="HO84" s="471">
        <v>3707.3820000000005</v>
      </c>
      <c r="HP84" s="471">
        <v>3725.7179999999998</v>
      </c>
      <c r="HQ84" s="471">
        <v>3913.5959999999995</v>
      </c>
      <c r="HR84" s="471">
        <v>3841.038</v>
      </c>
      <c r="HS84" s="471">
        <v>3909.4739999999997</v>
      </c>
      <c r="HT84" s="471">
        <v>3797.6279999999997</v>
      </c>
      <c r="HU84" s="471">
        <v>2400.4740000000002</v>
      </c>
      <c r="HV84" s="471">
        <v>2036.796</v>
      </c>
      <c r="HW84" s="471">
        <v>3079.38</v>
      </c>
      <c r="HX84" s="471">
        <v>3664.0860000000002</v>
      </c>
      <c r="HY84" s="471">
        <v>2873.9700000000003</v>
      </c>
      <c r="HZ84" s="471">
        <v>3331.8420000000001</v>
      </c>
      <c r="IA84" s="471">
        <v>3682.7699999999995</v>
      </c>
      <c r="IB84" s="471">
        <v>4186.6020000000008</v>
      </c>
      <c r="IC84" s="471">
        <v>4280.5860000000002</v>
      </c>
      <c r="ID84" s="471">
        <v>4327.2119999999995</v>
      </c>
      <c r="IE84" s="471">
        <v>4523.3220000000001</v>
      </c>
      <c r="IF84" s="471">
        <v>4364.7300000000005</v>
      </c>
      <c r="IG84" s="471">
        <v>2956.29</v>
      </c>
      <c r="IH84" s="471">
        <v>2571.3359999999998</v>
      </c>
      <c r="II84" s="471">
        <v>3347.34</v>
      </c>
      <c r="IJ84" s="471">
        <v>4651.6440000000002</v>
      </c>
      <c r="IK84" s="471">
        <v>4752.6959999999999</v>
      </c>
      <c r="IL84" s="471">
        <v>5020.8180000000002</v>
      </c>
      <c r="IM84" s="471">
        <v>5053.08</v>
      </c>
      <c r="IN84" s="472">
        <v>5023.8060000000005</v>
      </c>
      <c r="IO84" s="472">
        <v>5317.9260000000004</v>
      </c>
      <c r="IP84" s="472">
        <v>5288.1900000000005</v>
      </c>
      <c r="IQ84" s="472">
        <v>5468.5079999999998</v>
      </c>
      <c r="IR84" s="472">
        <v>5290.9979999999996</v>
      </c>
      <c r="IS84" s="472">
        <v>3304.6080000000002</v>
      </c>
      <c r="IT84" s="472">
        <v>3045.42</v>
      </c>
      <c r="IU84" s="472">
        <v>3788.6099999999997</v>
      </c>
      <c r="IV84" s="472">
        <v>4633.6080000000002</v>
      </c>
      <c r="IW84" s="472">
        <v>5019.7759999999998</v>
      </c>
      <c r="IX84" s="472">
        <v>4995.0280000000002</v>
      </c>
      <c r="IY84" s="472">
        <v>4382.3779999999997</v>
      </c>
      <c r="IZ84" s="472">
        <v>3310.25</v>
      </c>
      <c r="JA84" s="472">
        <v>4135.1139999999996</v>
      </c>
      <c r="JB84" s="472">
        <v>4452.0860000000002</v>
      </c>
      <c r="JC84" s="472">
        <v>3959.5360000000001</v>
      </c>
      <c r="JD84" s="472">
        <v>3608.2260000000001</v>
      </c>
      <c r="JE84" s="473">
        <v>4630.7839999999997</v>
      </c>
    </row>
    <row r="85" spans="1:265" x14ac:dyDescent="0.3">
      <c r="IA85" s="413"/>
      <c r="IB85" s="413"/>
      <c r="IC85" s="413"/>
      <c r="ID85" s="413"/>
      <c r="IE85" s="413"/>
      <c r="IF85" s="413"/>
      <c r="IG85" s="413"/>
      <c r="IH85" s="413"/>
      <c r="II85" s="413"/>
      <c r="IJ85" s="413"/>
      <c r="IK85" s="413"/>
      <c r="IL85" s="413"/>
      <c r="IM85" s="413"/>
      <c r="IN85" s="3"/>
    </row>
    <row r="86" spans="1:265" x14ac:dyDescent="0.3">
      <c r="A86" s="4"/>
      <c r="IA86" s="413"/>
      <c r="IB86" s="413"/>
      <c r="IC86" s="413"/>
      <c r="ID86" s="413"/>
      <c r="IE86" s="413"/>
      <c r="IF86" s="413"/>
      <c r="IG86" s="413"/>
      <c r="IH86" s="413"/>
      <c r="II86" s="413"/>
      <c r="IJ86" s="413"/>
      <c r="IK86" s="413"/>
      <c r="IL86" s="413"/>
      <c r="IM86" s="413"/>
      <c r="IN86" s="3"/>
    </row>
    <row r="87" spans="1:265" x14ac:dyDescent="0.3">
      <c r="IN87"/>
    </row>
    <row r="88" spans="1:265" x14ac:dyDescent="0.3">
      <c r="A88" s="4"/>
      <c r="B88" s="474"/>
      <c r="C88" s="474"/>
      <c r="D88" s="474"/>
      <c r="E88" s="474"/>
      <c r="F88" s="474"/>
      <c r="G88" s="474"/>
      <c r="H88" s="474"/>
      <c r="I88" s="474"/>
      <c r="J88" s="474"/>
      <c r="K88" s="474"/>
      <c r="L88" s="474"/>
      <c r="M88" s="474"/>
      <c r="N88" s="474"/>
      <c r="O88" s="474"/>
      <c r="P88" s="474"/>
      <c r="Q88" s="474"/>
      <c r="R88" s="474"/>
      <c r="S88" s="474"/>
      <c r="T88" s="474"/>
      <c r="U88" s="474"/>
      <c r="V88" s="474"/>
      <c r="W88" s="474"/>
      <c r="X88" s="474"/>
      <c r="Y88" s="474"/>
      <c r="Z88" s="474"/>
      <c r="AA88" s="474"/>
      <c r="AB88" s="474"/>
      <c r="AC88" s="474"/>
      <c r="AD88" s="474"/>
      <c r="AE88" s="474"/>
      <c r="AF88" s="474"/>
      <c r="AG88" s="474"/>
      <c r="AH88" s="474"/>
      <c r="AI88" s="474"/>
      <c r="AJ88" s="474"/>
      <c r="AK88" s="474"/>
      <c r="AL88" s="474"/>
      <c r="AM88" s="474"/>
      <c r="AN88" s="474"/>
      <c r="AO88" s="474"/>
      <c r="AP88" s="474"/>
      <c r="AQ88" s="474"/>
      <c r="AR88" s="474"/>
      <c r="AS88" s="474"/>
      <c r="AT88" s="474"/>
      <c r="AU88" s="474"/>
      <c r="AV88" s="474"/>
      <c r="AW88" s="474"/>
      <c r="AX88" s="474"/>
      <c r="AY88" s="474"/>
      <c r="AZ88" s="474"/>
      <c r="BA88" s="474"/>
      <c r="BB88" s="474"/>
      <c r="BC88" s="474"/>
      <c r="BD88" s="474"/>
      <c r="BE88" s="474"/>
      <c r="BF88" s="474"/>
      <c r="BG88" s="474"/>
      <c r="BH88" s="474"/>
      <c r="BI88" s="474"/>
      <c r="BJ88" s="474"/>
      <c r="BK88" s="474"/>
      <c r="BL88" s="474"/>
      <c r="BM88" s="474"/>
      <c r="BN88" s="474"/>
      <c r="BO88" s="474"/>
      <c r="BP88" s="474"/>
      <c r="BQ88" s="474"/>
      <c r="BR88" s="474"/>
      <c r="BS88" s="474"/>
      <c r="BT88" s="474"/>
      <c r="BU88" s="474"/>
      <c r="BV88" s="474"/>
      <c r="BW88" s="474"/>
      <c r="BX88" s="474"/>
      <c r="BY88" s="474"/>
      <c r="BZ88" s="474"/>
      <c r="CA88" s="474"/>
      <c r="CB88" s="474"/>
      <c r="CC88" s="474"/>
      <c r="CD88" s="474"/>
      <c r="CE88" s="474"/>
      <c r="CF88" s="475"/>
      <c r="CG88" s="475"/>
      <c r="CH88" s="475"/>
      <c r="CI88" s="475"/>
      <c r="CJ88" s="475"/>
      <c r="CK88" s="475"/>
      <c r="CL88" s="475"/>
      <c r="CM88" s="475"/>
      <c r="CN88" s="475"/>
      <c r="CO88" s="475"/>
      <c r="CP88" s="475"/>
      <c r="CQ88" s="475"/>
      <c r="CR88" s="475"/>
      <c r="CS88" s="475"/>
      <c r="CT88" s="475"/>
      <c r="CU88" s="475"/>
      <c r="CV88" s="475"/>
      <c r="CW88" s="475"/>
      <c r="CX88" s="475"/>
      <c r="CY88" s="475"/>
      <c r="CZ88" s="475"/>
      <c r="DA88" s="475"/>
      <c r="DB88" s="475"/>
      <c r="DC88" s="475"/>
      <c r="DD88" s="475"/>
      <c r="DE88" s="475"/>
      <c r="DF88" s="475"/>
      <c r="DG88" s="475"/>
      <c r="DH88" s="475"/>
      <c r="DI88" s="475"/>
      <c r="DJ88" s="475"/>
      <c r="DK88" s="475"/>
      <c r="DL88" s="475"/>
      <c r="DM88" s="475"/>
      <c r="DN88" s="475"/>
      <c r="DO88" s="475"/>
      <c r="DP88" s="475"/>
      <c r="DQ88" s="475"/>
      <c r="DR88" s="475"/>
      <c r="DS88" s="475"/>
      <c r="DT88" s="475"/>
      <c r="DU88" s="475"/>
      <c r="DV88" s="475"/>
      <c r="DW88" s="475"/>
      <c r="DX88" s="475"/>
      <c r="DY88" s="475"/>
      <c r="DZ88" s="475"/>
      <c r="EA88" s="475"/>
      <c r="EB88" s="475"/>
      <c r="EC88" s="475"/>
      <c r="ED88" s="475"/>
      <c r="EE88" s="475"/>
      <c r="EF88" s="475"/>
      <c r="EG88" s="475"/>
      <c r="EH88" s="475"/>
      <c r="EI88" s="475"/>
      <c r="EJ88" s="475"/>
      <c r="EK88" s="475"/>
      <c r="EL88" s="475"/>
      <c r="EM88" s="475"/>
      <c r="EN88" s="475"/>
      <c r="EO88" s="475"/>
      <c r="EP88" s="475"/>
      <c r="EQ88" s="475"/>
      <c r="ER88" s="475"/>
      <c r="ES88" s="475"/>
      <c r="ET88" s="475"/>
      <c r="EU88" s="475"/>
      <c r="EV88" s="475"/>
      <c r="EW88" s="475"/>
      <c r="EX88" s="475"/>
      <c r="EY88" s="475"/>
      <c r="EZ88" s="475"/>
      <c r="FA88" s="475"/>
      <c r="FB88" s="475"/>
      <c r="FC88" s="475"/>
      <c r="FD88" s="475"/>
      <c r="FE88" s="475"/>
      <c r="FF88" s="475"/>
      <c r="FG88" s="475"/>
      <c r="FH88" s="475"/>
      <c r="FI88" s="475"/>
      <c r="FJ88" s="475"/>
      <c r="FK88" s="475"/>
      <c r="FL88" s="475"/>
      <c r="FM88" s="475"/>
      <c r="FN88" s="475"/>
      <c r="FO88" s="475"/>
      <c r="FP88" s="475"/>
      <c r="FQ88" s="475"/>
      <c r="FR88" s="475"/>
      <c r="FS88" s="475"/>
      <c r="FT88" s="475"/>
      <c r="FU88" s="475"/>
      <c r="FV88" s="475"/>
      <c r="FW88" s="475"/>
      <c r="FX88" s="475"/>
      <c r="FY88" s="475"/>
      <c r="FZ88" s="475"/>
      <c r="GA88" s="475"/>
      <c r="GB88" s="475"/>
      <c r="GC88" s="475"/>
      <c r="GD88" s="475"/>
      <c r="GE88" s="475"/>
      <c r="GF88" s="475"/>
      <c r="GG88" s="475"/>
      <c r="GH88" s="475"/>
      <c r="GI88" s="475"/>
      <c r="GJ88" s="475"/>
      <c r="GK88" s="475"/>
      <c r="GL88" s="475"/>
      <c r="GM88" s="475"/>
      <c r="GN88" s="475"/>
      <c r="GO88" s="475"/>
      <c r="GP88" s="475"/>
      <c r="GQ88" s="475"/>
      <c r="GR88" s="475"/>
      <c r="GS88" s="475"/>
      <c r="GT88" s="475"/>
      <c r="GU88" s="475"/>
      <c r="GV88" s="475"/>
      <c r="GW88" s="475"/>
      <c r="GX88" s="475"/>
      <c r="GY88" s="475"/>
      <c r="GZ88" s="475"/>
      <c r="HA88" s="475"/>
      <c r="HB88" s="475"/>
      <c r="HC88" s="475"/>
      <c r="HD88" s="475"/>
      <c r="HE88" s="475"/>
      <c r="HF88" s="475"/>
      <c r="HG88" s="475"/>
      <c r="HH88" s="475"/>
      <c r="HI88" s="475"/>
      <c r="HJ88" s="475"/>
      <c r="HK88" s="475"/>
      <c r="HL88" s="475"/>
      <c r="HM88" s="475"/>
      <c r="HN88" s="475"/>
      <c r="HO88" s="475"/>
      <c r="HP88" s="475"/>
      <c r="HQ88" s="475"/>
      <c r="HR88" s="475"/>
      <c r="HS88" s="475"/>
      <c r="HT88" s="475"/>
      <c r="HU88" s="475"/>
      <c r="HV88" s="475"/>
      <c r="HW88" s="475"/>
      <c r="HX88" s="475"/>
      <c r="HY88" s="475"/>
      <c r="HZ88" s="475"/>
      <c r="IA88" s="475"/>
      <c r="IB88" s="475"/>
      <c r="IC88" s="475"/>
      <c r="ID88" s="475"/>
      <c r="IE88" s="475"/>
      <c r="IF88" s="475"/>
      <c r="IG88" s="475"/>
      <c r="IH88" s="475"/>
      <c r="II88" s="475"/>
      <c r="IJ88" s="475"/>
      <c r="IK88" s="475"/>
      <c r="IL88" s="475"/>
      <c r="IM88" s="475"/>
      <c r="IN88" s="475"/>
      <c r="IO88" s="475"/>
      <c r="IP88" s="475"/>
      <c r="IQ88" s="475"/>
      <c r="IR88" s="475"/>
      <c r="IS88" s="475"/>
      <c r="IT88" s="475"/>
      <c r="IU88" s="475"/>
      <c r="IV88" s="475"/>
      <c r="IW88" s="475"/>
      <c r="IX88" s="475"/>
      <c r="IY88" s="475"/>
    </row>
    <row r="89" spans="1:265" x14ac:dyDescent="0.3">
      <c r="A89" s="476"/>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c r="BO89" s="15"/>
      <c r="BP89" s="15"/>
      <c r="BQ89" s="15"/>
      <c r="BR89" s="15"/>
      <c r="BS89" s="15"/>
      <c r="BT89" s="15"/>
      <c r="BU89" s="15"/>
      <c r="BV89" s="15"/>
      <c r="BW89" s="15"/>
      <c r="BX89" s="15"/>
      <c r="BY89" s="15"/>
      <c r="BZ89" s="15"/>
      <c r="CA89" s="15"/>
      <c r="CB89" s="15"/>
      <c r="CC89" s="15"/>
      <c r="CD89" s="15"/>
      <c r="CE89" s="15"/>
      <c r="CF89" s="15"/>
      <c r="CG89" s="15"/>
      <c r="CH89" s="15"/>
      <c r="CI89" s="15"/>
      <c r="CJ89" s="15"/>
      <c r="CK89" s="15"/>
      <c r="CL89" s="15"/>
      <c r="CM89" s="15"/>
      <c r="CN89" s="15"/>
      <c r="CO89" s="15"/>
      <c r="CP89" s="15"/>
      <c r="CQ89" s="15"/>
      <c r="CR89" s="15"/>
      <c r="CS89" s="15"/>
      <c r="CT89" s="15"/>
      <c r="CU89" s="15"/>
      <c r="CV89" s="15"/>
      <c r="CW89" s="15"/>
      <c r="CX89" s="15"/>
      <c r="CY89" s="15"/>
      <c r="CZ89" s="15"/>
      <c r="DA89" s="15"/>
      <c r="DB89" s="15"/>
      <c r="DC89" s="15"/>
      <c r="DD89" s="15"/>
      <c r="DE89" s="15"/>
      <c r="DF89" s="15"/>
      <c r="DG89" s="15"/>
      <c r="DH89" s="15"/>
      <c r="DI89" s="15"/>
      <c r="DJ89" s="15"/>
      <c r="DK89" s="15"/>
      <c r="DL89" s="15"/>
      <c r="DM89" s="15"/>
      <c r="DN89" s="15"/>
      <c r="DO89" s="15"/>
      <c r="DP89" s="15"/>
      <c r="DQ89" s="15"/>
      <c r="DR89" s="15"/>
      <c r="DS89" s="15"/>
      <c r="DT89" s="15"/>
      <c r="DU89" s="15"/>
      <c r="DV89" s="15"/>
      <c r="DW89" s="15"/>
      <c r="DX89" s="15"/>
      <c r="DY89" s="15"/>
      <c r="DZ89" s="15"/>
      <c r="EA89" s="15"/>
      <c r="EB89" s="15"/>
      <c r="EC89" s="15"/>
      <c r="ED89" s="15"/>
      <c r="EE89" s="15"/>
      <c r="EF89" s="15"/>
      <c r="EG89" s="15"/>
      <c r="EH89" s="15"/>
      <c r="EI89" s="15"/>
      <c r="EJ89" s="15"/>
      <c r="EK89" s="15"/>
      <c r="EL89" s="15"/>
      <c r="EM89" s="15"/>
      <c r="EN89" s="15"/>
      <c r="EO89" s="15"/>
      <c r="EP89" s="15"/>
      <c r="EQ89" s="15"/>
      <c r="ER89" s="15"/>
      <c r="ES89" s="15"/>
      <c r="ET89" s="15"/>
      <c r="EU89" s="15"/>
      <c r="EV89" s="15"/>
      <c r="EW89" s="15"/>
      <c r="EX89" s="15"/>
      <c r="EY89" s="15"/>
      <c r="EZ89" s="15"/>
      <c r="FA89" s="15"/>
      <c r="FB89" s="15"/>
      <c r="FC89" s="15"/>
      <c r="FD89" s="15"/>
      <c r="FE89" s="15"/>
      <c r="FF89" s="15"/>
      <c r="FG89" s="15"/>
      <c r="FH89" s="15"/>
      <c r="FI89" s="15"/>
      <c r="FJ89" s="15"/>
      <c r="FK89" s="15"/>
      <c r="FL89" s="15"/>
      <c r="FM89" s="15"/>
      <c r="FN89" s="15"/>
      <c r="FO89" s="15"/>
      <c r="FP89" s="15"/>
      <c r="FQ89" s="15"/>
      <c r="FR89" s="15"/>
      <c r="FS89" s="15"/>
      <c r="FT89" s="15"/>
      <c r="FU89" s="15"/>
      <c r="FV89" s="15"/>
      <c r="FW89" s="15"/>
      <c r="FX89" s="15"/>
      <c r="FY89" s="15"/>
      <c r="FZ89" s="15"/>
      <c r="GA89" s="15"/>
      <c r="GB89" s="15"/>
      <c r="GC89" s="15"/>
      <c r="GD89" s="15"/>
      <c r="GE89" s="15"/>
      <c r="GF89" s="15"/>
      <c r="GG89" s="15"/>
      <c r="GH89" s="15"/>
      <c r="GI89" s="15"/>
      <c r="GJ89" s="15"/>
      <c r="GK89" s="15"/>
      <c r="GL89" s="15"/>
      <c r="GM89" s="15"/>
      <c r="GN89" s="15"/>
      <c r="GO89" s="15"/>
      <c r="GP89" s="15"/>
      <c r="GQ89" s="15"/>
      <c r="GR89" s="15"/>
      <c r="GS89" s="15"/>
      <c r="GT89" s="15"/>
      <c r="GU89" s="15"/>
      <c r="GV89" s="15"/>
      <c r="GW89" s="15"/>
      <c r="GX89" s="15"/>
      <c r="GY89" s="15"/>
      <c r="GZ89" s="15"/>
      <c r="HA89" s="15"/>
      <c r="HB89" s="15"/>
      <c r="HC89" s="15"/>
      <c r="HD89" s="15"/>
      <c r="HE89" s="15"/>
      <c r="HF89" s="15"/>
      <c r="HG89" s="15"/>
      <c r="HH89" s="15"/>
      <c r="HI89" s="15"/>
      <c r="HJ89" s="15"/>
      <c r="HK89" s="15"/>
      <c r="HL89" s="15"/>
      <c r="HM89" s="15"/>
      <c r="HN89" s="15"/>
      <c r="HO89" s="15"/>
      <c r="HP89" s="15"/>
      <c r="HQ89" s="15"/>
      <c r="HR89" s="15"/>
      <c r="HS89" s="15"/>
      <c r="HT89" s="15"/>
      <c r="HU89" s="15"/>
      <c r="HV89" s="15"/>
      <c r="HW89" s="15"/>
      <c r="HX89" s="15"/>
      <c r="HY89" s="15"/>
      <c r="HZ89" s="15"/>
      <c r="IA89" s="15"/>
      <c r="IB89" s="15"/>
      <c r="IC89" s="15"/>
      <c r="ID89" s="15"/>
      <c r="IE89" s="15"/>
      <c r="IF89" s="15"/>
      <c r="IG89" s="15"/>
      <c r="IH89" s="15"/>
      <c r="II89" s="15"/>
      <c r="IJ89" s="15"/>
      <c r="IK89" s="15"/>
      <c r="IL89" s="15"/>
      <c r="IM89" s="15"/>
      <c r="IN89" s="15"/>
      <c r="IO89" s="15"/>
      <c r="IP89" s="15"/>
      <c r="IQ89" s="15"/>
      <c r="IR89" s="15"/>
      <c r="IS89" s="15"/>
      <c r="IT89" s="15"/>
      <c r="IU89" s="15"/>
      <c r="IV89" s="15"/>
      <c r="IW89" s="15"/>
      <c r="IX89" s="15"/>
      <c r="IY89" s="15"/>
    </row>
    <row r="90" spans="1:265" x14ac:dyDescent="0.3">
      <c r="A90" s="476"/>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c r="BR90" s="15"/>
      <c r="BS90" s="15"/>
      <c r="BT90" s="15"/>
      <c r="BU90" s="15"/>
      <c r="BV90" s="15"/>
      <c r="BW90" s="15"/>
      <c r="BX90" s="15"/>
      <c r="BY90" s="15"/>
      <c r="BZ90" s="15"/>
      <c r="CA90" s="15"/>
      <c r="CB90" s="15"/>
      <c r="CC90" s="15"/>
      <c r="CD90" s="15"/>
      <c r="CE90" s="15"/>
      <c r="CF90" s="15"/>
      <c r="CG90" s="15"/>
      <c r="CH90" s="15"/>
      <c r="CI90" s="15"/>
      <c r="CJ90" s="15"/>
      <c r="CK90" s="15"/>
      <c r="CL90" s="15"/>
      <c r="CM90" s="15"/>
      <c r="CN90" s="15"/>
      <c r="CO90" s="15"/>
      <c r="CP90" s="15"/>
      <c r="CQ90" s="15"/>
      <c r="CR90" s="15"/>
      <c r="CS90" s="15"/>
      <c r="CT90" s="15"/>
      <c r="CU90" s="15"/>
      <c r="CV90" s="15"/>
      <c r="CW90" s="15"/>
      <c r="CX90" s="15"/>
      <c r="CY90" s="15"/>
      <c r="CZ90" s="15"/>
      <c r="DA90" s="15"/>
      <c r="DB90" s="15"/>
      <c r="DC90" s="15"/>
      <c r="DD90" s="15"/>
      <c r="DE90" s="15"/>
      <c r="DF90" s="15"/>
      <c r="DG90" s="15"/>
      <c r="DH90" s="15"/>
      <c r="DI90" s="15"/>
      <c r="DJ90" s="15"/>
      <c r="DK90" s="15"/>
      <c r="DL90" s="15"/>
      <c r="DM90" s="15"/>
      <c r="DN90" s="15"/>
      <c r="DO90" s="15"/>
      <c r="DP90" s="15"/>
      <c r="DQ90" s="15"/>
      <c r="DR90" s="15"/>
      <c r="DS90" s="15"/>
      <c r="DT90" s="15"/>
      <c r="DU90" s="15"/>
      <c r="DV90" s="15"/>
      <c r="DW90" s="15"/>
      <c r="DX90" s="15"/>
      <c r="DY90" s="15"/>
      <c r="DZ90" s="15"/>
      <c r="EA90" s="15"/>
      <c r="EB90" s="15"/>
      <c r="EC90" s="15"/>
      <c r="ED90" s="15"/>
      <c r="EE90" s="15"/>
      <c r="EF90" s="15"/>
      <c r="EG90" s="15"/>
      <c r="EH90" s="15"/>
      <c r="EI90" s="15"/>
      <c r="EJ90" s="15"/>
      <c r="EK90" s="15"/>
      <c r="EL90" s="15"/>
      <c r="EM90" s="15"/>
      <c r="EN90" s="15"/>
      <c r="EO90" s="15"/>
      <c r="EP90" s="15"/>
      <c r="EQ90" s="15"/>
      <c r="ER90" s="15"/>
      <c r="ES90" s="15"/>
      <c r="ET90" s="15"/>
      <c r="EU90" s="15"/>
      <c r="EV90" s="15"/>
      <c r="EW90" s="15"/>
      <c r="EX90" s="15"/>
      <c r="EY90" s="15"/>
      <c r="EZ90" s="15"/>
      <c r="FA90" s="15"/>
      <c r="FB90" s="15"/>
      <c r="FC90" s="15"/>
      <c r="FD90" s="15"/>
      <c r="FE90" s="15"/>
      <c r="FF90" s="15"/>
      <c r="FG90" s="15"/>
      <c r="FH90" s="15"/>
      <c r="FI90" s="15"/>
      <c r="FJ90" s="15"/>
      <c r="FK90" s="15"/>
      <c r="FL90" s="15"/>
      <c r="FM90" s="15"/>
      <c r="FN90" s="15"/>
      <c r="FO90" s="15"/>
      <c r="FP90" s="15"/>
      <c r="FQ90" s="15"/>
      <c r="FR90" s="15"/>
      <c r="FS90" s="15"/>
      <c r="FT90" s="15"/>
      <c r="FU90" s="15"/>
      <c r="FV90" s="15"/>
      <c r="FW90" s="15"/>
      <c r="FX90" s="15"/>
      <c r="FY90" s="15"/>
      <c r="FZ90" s="15"/>
      <c r="GA90" s="15"/>
      <c r="GB90" s="15"/>
      <c r="GC90" s="15"/>
      <c r="GD90" s="15"/>
      <c r="GE90" s="15"/>
      <c r="GF90" s="15"/>
      <c r="GG90" s="15"/>
      <c r="GH90" s="15"/>
      <c r="GI90" s="15"/>
      <c r="GJ90" s="15"/>
      <c r="GK90" s="15"/>
      <c r="GL90" s="15"/>
      <c r="GM90" s="15"/>
      <c r="GN90" s="15"/>
      <c r="GO90" s="15"/>
      <c r="GP90" s="15"/>
      <c r="GQ90" s="15"/>
      <c r="GR90" s="15"/>
      <c r="GS90" s="15"/>
      <c r="GT90" s="15"/>
      <c r="GU90" s="15"/>
      <c r="GV90" s="15"/>
      <c r="GW90" s="15"/>
      <c r="GX90" s="15"/>
      <c r="GY90" s="15"/>
      <c r="GZ90" s="15"/>
      <c r="HA90" s="15"/>
      <c r="HB90" s="15"/>
      <c r="HC90" s="15"/>
      <c r="HD90" s="15"/>
      <c r="HE90" s="15"/>
      <c r="HF90" s="15"/>
      <c r="HG90" s="15"/>
      <c r="HH90" s="15"/>
      <c r="HI90" s="15"/>
      <c r="HJ90" s="15"/>
      <c r="HK90" s="15"/>
      <c r="HL90" s="15"/>
      <c r="HM90" s="15"/>
      <c r="HN90" s="15"/>
      <c r="HO90" s="15"/>
      <c r="HP90" s="15"/>
      <c r="HQ90" s="15"/>
      <c r="HR90" s="15"/>
      <c r="HS90" s="15"/>
      <c r="HT90" s="15"/>
      <c r="HU90" s="15"/>
      <c r="HV90" s="15"/>
      <c r="HW90" s="15"/>
      <c r="HX90" s="15"/>
      <c r="HY90" s="15"/>
      <c r="HZ90" s="15"/>
      <c r="IA90" s="15"/>
      <c r="IB90" s="15"/>
      <c r="IC90" s="15"/>
      <c r="ID90" s="15"/>
      <c r="IE90" s="15"/>
      <c r="IF90" s="15"/>
      <c r="IG90" s="15"/>
      <c r="IH90" s="15"/>
      <c r="II90" s="15"/>
      <c r="IJ90" s="15"/>
      <c r="IK90" s="15"/>
      <c r="IL90" s="15"/>
      <c r="IM90" s="15"/>
      <c r="IN90" s="15"/>
      <c r="IO90" s="15"/>
      <c r="IP90" s="15"/>
      <c r="IQ90" s="15"/>
      <c r="IR90" s="15"/>
      <c r="IS90" s="15"/>
      <c r="IT90" s="15"/>
      <c r="IU90" s="15"/>
      <c r="IV90" s="15"/>
      <c r="IW90" s="15"/>
      <c r="IX90" s="15"/>
      <c r="IY90" s="15"/>
    </row>
    <row r="91" spans="1:265" x14ac:dyDescent="0.3">
      <c r="A91" s="476"/>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5"/>
      <c r="CC91" s="15"/>
      <c r="CD91" s="15"/>
      <c r="CE91" s="15"/>
      <c r="CF91" s="15"/>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5"/>
      <c r="DR91" s="15"/>
      <c r="DS91" s="15"/>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5"/>
      <c r="FE91" s="15"/>
      <c r="FF91" s="15"/>
      <c r="FG91" s="15"/>
      <c r="FH91" s="15"/>
      <c r="FI91" s="15"/>
      <c r="FJ91" s="15"/>
      <c r="FK91" s="15"/>
      <c r="FL91" s="15"/>
      <c r="FM91" s="15"/>
      <c r="FN91" s="15"/>
      <c r="FO91" s="15"/>
      <c r="FP91" s="15"/>
      <c r="FQ91" s="15"/>
      <c r="FR91" s="15"/>
      <c r="FS91" s="15"/>
      <c r="FT91" s="15"/>
      <c r="FU91" s="15"/>
      <c r="FV91" s="15"/>
      <c r="FW91" s="15"/>
      <c r="FX91" s="15"/>
      <c r="FY91" s="15"/>
      <c r="FZ91" s="15"/>
      <c r="GA91" s="15"/>
      <c r="GB91" s="15"/>
      <c r="GC91" s="15"/>
      <c r="GD91" s="15"/>
      <c r="GE91" s="15"/>
      <c r="GF91" s="15"/>
      <c r="GG91" s="15"/>
      <c r="GH91" s="15"/>
      <c r="GI91" s="15"/>
      <c r="GJ91" s="15"/>
      <c r="GK91" s="15"/>
      <c r="GL91" s="15"/>
      <c r="GM91" s="15"/>
      <c r="GN91" s="15"/>
      <c r="GO91" s="15"/>
      <c r="GP91" s="15"/>
      <c r="GQ91" s="15"/>
      <c r="GR91" s="15"/>
      <c r="GS91" s="15"/>
      <c r="GT91" s="15"/>
      <c r="GU91" s="15"/>
      <c r="GV91" s="15"/>
      <c r="GW91" s="15"/>
      <c r="GX91" s="15"/>
      <c r="GY91" s="15"/>
      <c r="GZ91" s="15"/>
      <c r="HA91" s="15"/>
      <c r="HB91" s="15"/>
      <c r="HC91" s="15"/>
      <c r="HD91" s="15"/>
      <c r="HE91" s="15"/>
      <c r="HF91" s="15"/>
      <c r="HG91" s="15"/>
      <c r="HH91" s="15"/>
      <c r="HI91" s="15"/>
      <c r="HJ91" s="15"/>
      <c r="HK91" s="15"/>
      <c r="HL91" s="15"/>
      <c r="HM91" s="15"/>
      <c r="HN91" s="15"/>
      <c r="HO91" s="15"/>
      <c r="HP91" s="15"/>
      <c r="HQ91" s="15"/>
      <c r="HR91" s="15"/>
      <c r="HS91" s="15"/>
      <c r="HT91" s="15"/>
      <c r="HU91" s="15"/>
      <c r="HV91" s="15"/>
      <c r="HW91" s="15"/>
      <c r="HX91" s="15"/>
      <c r="HY91" s="15"/>
      <c r="HZ91" s="15"/>
      <c r="IA91" s="15"/>
      <c r="IB91" s="15"/>
      <c r="IC91" s="15"/>
      <c r="ID91" s="15"/>
      <c r="IE91" s="15"/>
      <c r="IF91" s="15"/>
      <c r="IG91" s="15"/>
      <c r="IH91" s="15"/>
      <c r="II91" s="15"/>
      <c r="IJ91" s="15"/>
      <c r="IK91" s="15"/>
      <c r="IL91" s="15"/>
      <c r="IM91" s="15"/>
      <c r="IN91" s="15"/>
      <c r="IO91" s="15"/>
      <c r="IP91" s="15"/>
      <c r="IQ91" s="15"/>
      <c r="IR91" s="15"/>
      <c r="IS91" s="15"/>
      <c r="IT91" s="15"/>
      <c r="IU91" s="15"/>
      <c r="IV91" s="15"/>
      <c r="IW91" s="15"/>
      <c r="IX91" s="15"/>
      <c r="IY91" s="15"/>
    </row>
    <row r="92" spans="1:265" x14ac:dyDescent="0.3">
      <c r="A92" s="476"/>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c r="BO92" s="15"/>
      <c r="BP92" s="15"/>
      <c r="BQ92" s="15"/>
      <c r="BR92" s="15"/>
      <c r="BS92" s="15"/>
      <c r="BT92" s="15"/>
      <c r="BU92" s="15"/>
      <c r="BV92" s="15"/>
      <c r="BW92" s="15"/>
      <c r="BX92" s="15"/>
      <c r="BY92" s="15"/>
      <c r="BZ92" s="15"/>
      <c r="CA92" s="15"/>
      <c r="CB92" s="15"/>
      <c r="CC92" s="15"/>
      <c r="CD92" s="15"/>
      <c r="CE92" s="15"/>
      <c r="CF92" s="15"/>
      <c r="CG92" s="15"/>
      <c r="CH92" s="15"/>
      <c r="CI92" s="15"/>
      <c r="CJ92" s="15"/>
      <c r="CK92" s="15"/>
      <c r="CL92" s="15"/>
      <c r="CM92" s="15"/>
      <c r="CN92" s="15"/>
      <c r="CO92" s="15"/>
      <c r="CP92" s="15"/>
      <c r="CQ92" s="15"/>
      <c r="CR92" s="15"/>
      <c r="CS92" s="15"/>
      <c r="CT92" s="15"/>
      <c r="CU92" s="15"/>
      <c r="CV92" s="15"/>
      <c r="CW92" s="15"/>
      <c r="CX92" s="15"/>
      <c r="CY92" s="15"/>
      <c r="CZ92" s="15"/>
      <c r="DA92" s="15"/>
      <c r="DB92" s="15"/>
      <c r="DC92" s="15"/>
      <c r="DD92" s="15"/>
      <c r="DE92" s="15"/>
      <c r="DF92" s="15"/>
      <c r="DG92" s="15"/>
      <c r="DH92" s="15"/>
      <c r="DI92" s="15"/>
      <c r="DJ92" s="15"/>
      <c r="DK92" s="15"/>
      <c r="DL92" s="15"/>
      <c r="DM92" s="15"/>
      <c r="DN92" s="15"/>
      <c r="DO92" s="15"/>
      <c r="DP92" s="15"/>
      <c r="DQ92" s="15"/>
      <c r="DR92" s="15"/>
      <c r="DS92" s="15"/>
      <c r="DT92" s="15"/>
      <c r="DU92" s="15"/>
      <c r="DV92" s="15"/>
      <c r="DW92" s="15"/>
      <c r="DX92" s="15"/>
      <c r="DY92" s="15"/>
      <c r="DZ92" s="15"/>
      <c r="EA92" s="15"/>
      <c r="EB92" s="15"/>
      <c r="EC92" s="15"/>
      <c r="ED92" s="15"/>
      <c r="EE92" s="15"/>
      <c r="EF92" s="15"/>
      <c r="EG92" s="15"/>
      <c r="EH92" s="15"/>
      <c r="EI92" s="15"/>
      <c r="EJ92" s="15"/>
      <c r="EK92" s="15"/>
      <c r="EL92" s="15"/>
      <c r="EM92" s="15"/>
      <c r="EN92" s="15"/>
      <c r="EO92" s="15"/>
      <c r="EP92" s="15"/>
      <c r="EQ92" s="15"/>
      <c r="ER92" s="15"/>
      <c r="ES92" s="15"/>
      <c r="ET92" s="15"/>
      <c r="EU92" s="15"/>
      <c r="EV92" s="15"/>
      <c r="EW92" s="15"/>
      <c r="EX92" s="15"/>
      <c r="EY92" s="15"/>
      <c r="EZ92" s="15"/>
      <c r="FA92" s="15"/>
      <c r="FB92" s="15"/>
      <c r="FC92" s="15"/>
      <c r="FD92" s="15"/>
      <c r="FE92" s="15"/>
      <c r="FF92" s="15"/>
      <c r="FG92" s="15"/>
      <c r="FH92" s="15"/>
      <c r="FI92" s="15"/>
      <c r="FJ92" s="15"/>
      <c r="FK92" s="15"/>
      <c r="FL92" s="15"/>
      <c r="FM92" s="15"/>
      <c r="FN92" s="15"/>
      <c r="FO92" s="15"/>
      <c r="FP92" s="15"/>
      <c r="FQ92" s="15"/>
      <c r="FR92" s="15"/>
      <c r="FS92" s="15"/>
      <c r="FT92" s="15"/>
      <c r="FU92" s="15"/>
      <c r="FV92" s="15"/>
      <c r="FW92" s="15"/>
      <c r="FX92" s="15"/>
      <c r="FY92" s="15"/>
      <c r="FZ92" s="15"/>
      <c r="GA92" s="15"/>
      <c r="GB92" s="15"/>
      <c r="GC92" s="15"/>
      <c r="GD92" s="15"/>
      <c r="GE92" s="15"/>
      <c r="GF92" s="15"/>
      <c r="GG92" s="15"/>
      <c r="GH92" s="15"/>
      <c r="GI92" s="15"/>
      <c r="GJ92" s="15"/>
      <c r="GK92" s="15"/>
      <c r="GL92" s="15"/>
      <c r="GM92" s="15"/>
      <c r="GN92" s="15"/>
      <c r="GO92" s="15"/>
      <c r="GP92" s="15"/>
      <c r="GQ92" s="15"/>
      <c r="GR92" s="15"/>
      <c r="GS92" s="15"/>
      <c r="GT92" s="15"/>
      <c r="GU92" s="15"/>
      <c r="GV92" s="15"/>
      <c r="GW92" s="15"/>
      <c r="GX92" s="15"/>
      <c r="GY92" s="15"/>
      <c r="GZ92" s="15"/>
      <c r="HA92" s="15"/>
      <c r="HB92" s="15"/>
      <c r="HC92" s="15"/>
      <c r="HD92" s="15"/>
      <c r="HE92" s="15"/>
      <c r="HF92" s="15"/>
      <c r="HG92" s="15"/>
      <c r="HH92" s="15"/>
      <c r="HI92" s="15"/>
      <c r="HJ92" s="15"/>
      <c r="HK92" s="15"/>
      <c r="HL92" s="15"/>
      <c r="HM92" s="15"/>
      <c r="HN92" s="15"/>
      <c r="HO92" s="15"/>
      <c r="HP92" s="15"/>
      <c r="HQ92" s="15"/>
      <c r="HR92" s="15"/>
      <c r="HS92" s="15"/>
      <c r="HT92" s="15"/>
      <c r="HU92" s="15"/>
      <c r="HV92" s="15"/>
      <c r="HW92" s="15"/>
      <c r="HX92" s="15"/>
      <c r="HY92" s="15"/>
      <c r="HZ92" s="15"/>
      <c r="IA92" s="15"/>
      <c r="IB92" s="15"/>
      <c r="IC92" s="15"/>
      <c r="ID92" s="15"/>
      <c r="IE92" s="15"/>
      <c r="IF92" s="15"/>
      <c r="IG92" s="15"/>
      <c r="IH92" s="15"/>
      <c r="II92" s="15"/>
      <c r="IJ92" s="15"/>
      <c r="IK92" s="15"/>
      <c r="IL92" s="15"/>
      <c r="IM92" s="15"/>
      <c r="IN92" s="15"/>
      <c r="IO92" s="15"/>
      <c r="IP92" s="15"/>
      <c r="IQ92" s="15"/>
      <c r="IR92" s="15"/>
      <c r="IS92" s="15"/>
      <c r="IT92" s="15"/>
      <c r="IU92" s="15"/>
      <c r="IV92" s="15"/>
      <c r="IW92" s="15"/>
      <c r="IX92" s="15"/>
      <c r="IY92" s="15"/>
    </row>
    <row r="93" spans="1:265" x14ac:dyDescent="0.3">
      <c r="A93" s="476"/>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15"/>
      <c r="BO93" s="15"/>
      <c r="BP93" s="15"/>
      <c r="BQ93" s="15"/>
      <c r="BR93" s="15"/>
      <c r="BS93" s="15"/>
      <c r="BT93" s="15"/>
      <c r="BU93" s="15"/>
      <c r="BV93" s="15"/>
      <c r="BW93" s="15"/>
      <c r="BX93" s="15"/>
      <c r="BY93" s="15"/>
      <c r="BZ93" s="15"/>
      <c r="CA93" s="15"/>
      <c r="CB93" s="15"/>
      <c r="CC93" s="15"/>
      <c r="CD93" s="15"/>
      <c r="CE93" s="15"/>
      <c r="CF93" s="15"/>
      <c r="CG93" s="15"/>
      <c r="CH93" s="15"/>
      <c r="CI93" s="15"/>
      <c r="CJ93" s="15"/>
      <c r="CK93" s="15"/>
      <c r="CL93" s="15"/>
      <c r="CM93" s="15"/>
      <c r="CN93" s="15"/>
      <c r="CO93" s="15"/>
      <c r="CP93" s="15"/>
      <c r="CQ93" s="15"/>
      <c r="CR93" s="15"/>
      <c r="CS93" s="15"/>
      <c r="CT93" s="15"/>
      <c r="CU93" s="15"/>
      <c r="CV93" s="15"/>
      <c r="CW93" s="15"/>
      <c r="CX93" s="15"/>
      <c r="CY93" s="15"/>
      <c r="CZ93" s="15"/>
      <c r="DA93" s="15"/>
      <c r="DB93" s="15"/>
      <c r="DC93" s="15"/>
      <c r="DD93" s="15"/>
      <c r="DE93" s="15"/>
      <c r="DF93" s="15"/>
      <c r="DG93" s="15"/>
      <c r="DH93" s="15"/>
      <c r="DI93" s="15"/>
      <c r="DJ93" s="15"/>
      <c r="DK93" s="15"/>
      <c r="DL93" s="15"/>
      <c r="DM93" s="15"/>
      <c r="DN93" s="15"/>
      <c r="DO93" s="15"/>
      <c r="DP93" s="15"/>
      <c r="DQ93" s="15"/>
      <c r="DR93" s="15"/>
      <c r="DS93" s="15"/>
      <c r="DT93" s="15"/>
      <c r="DU93" s="15"/>
      <c r="DV93" s="15"/>
      <c r="DW93" s="15"/>
      <c r="DX93" s="15"/>
      <c r="DY93" s="15"/>
      <c r="DZ93" s="15"/>
      <c r="EA93" s="15"/>
      <c r="EB93" s="15"/>
      <c r="EC93" s="15"/>
      <c r="ED93" s="15"/>
      <c r="EE93" s="15"/>
      <c r="EF93" s="15"/>
      <c r="EG93" s="15"/>
      <c r="EH93" s="15"/>
      <c r="EI93" s="15"/>
      <c r="EJ93" s="15"/>
      <c r="EK93" s="15"/>
      <c r="EL93" s="15"/>
      <c r="EM93" s="15"/>
      <c r="EN93" s="15"/>
      <c r="EO93" s="15"/>
      <c r="EP93" s="15"/>
      <c r="EQ93" s="15"/>
      <c r="ER93" s="15"/>
      <c r="ES93" s="15"/>
      <c r="ET93" s="15"/>
      <c r="EU93" s="15"/>
      <c r="EV93" s="15"/>
      <c r="EW93" s="15"/>
      <c r="EX93" s="15"/>
      <c r="EY93" s="15"/>
      <c r="EZ93" s="15"/>
      <c r="FA93" s="15"/>
      <c r="FB93" s="15"/>
      <c r="FC93" s="15"/>
      <c r="FD93" s="15"/>
      <c r="FE93" s="15"/>
      <c r="FF93" s="15"/>
      <c r="FG93" s="15"/>
      <c r="FH93" s="15"/>
      <c r="FI93" s="15"/>
      <c r="FJ93" s="15"/>
      <c r="FK93" s="15"/>
      <c r="FL93" s="15"/>
      <c r="FM93" s="15"/>
      <c r="FN93" s="15"/>
      <c r="FO93" s="15"/>
      <c r="FP93" s="15"/>
      <c r="FQ93" s="15"/>
      <c r="FR93" s="15"/>
      <c r="FS93" s="15"/>
      <c r="FT93" s="15"/>
      <c r="FU93" s="15"/>
      <c r="FV93" s="15"/>
      <c r="FW93" s="15"/>
      <c r="FX93" s="15"/>
      <c r="FY93" s="15"/>
      <c r="FZ93" s="15"/>
      <c r="GA93" s="15"/>
      <c r="GB93" s="15"/>
      <c r="GC93" s="15"/>
      <c r="GD93" s="15"/>
      <c r="GE93" s="15"/>
      <c r="GF93" s="15"/>
      <c r="GG93" s="15"/>
      <c r="GH93" s="15"/>
      <c r="GI93" s="15"/>
      <c r="GJ93" s="15"/>
      <c r="GK93" s="15"/>
      <c r="GL93" s="15"/>
      <c r="GM93" s="15"/>
      <c r="GN93" s="15"/>
      <c r="GO93" s="15"/>
      <c r="GP93" s="15"/>
      <c r="GQ93" s="15"/>
      <c r="GR93" s="15"/>
      <c r="GS93" s="15"/>
      <c r="GT93" s="15"/>
      <c r="GU93" s="15"/>
      <c r="GV93" s="15"/>
      <c r="GW93" s="15"/>
      <c r="GX93" s="15"/>
      <c r="GY93" s="15"/>
      <c r="GZ93" s="15"/>
      <c r="HA93" s="15"/>
      <c r="HB93" s="15"/>
      <c r="HC93" s="15"/>
      <c r="HD93" s="15"/>
      <c r="HE93" s="15"/>
      <c r="HF93" s="15"/>
      <c r="HG93" s="15"/>
      <c r="HH93" s="15"/>
      <c r="HI93" s="15"/>
      <c r="HJ93" s="15"/>
      <c r="HK93" s="15"/>
      <c r="HL93" s="15"/>
      <c r="HM93" s="15"/>
      <c r="HN93" s="15"/>
      <c r="HO93" s="15"/>
      <c r="HP93" s="15"/>
      <c r="HQ93" s="15"/>
      <c r="HR93" s="15"/>
      <c r="HS93" s="15"/>
      <c r="HT93" s="15"/>
      <c r="HU93" s="15"/>
      <c r="HV93" s="15"/>
      <c r="HW93" s="15"/>
      <c r="HX93" s="15"/>
      <c r="HY93" s="15"/>
      <c r="HZ93" s="15"/>
      <c r="IA93" s="15"/>
      <c r="IB93" s="15"/>
      <c r="IC93" s="15"/>
      <c r="ID93" s="15"/>
      <c r="IE93" s="15"/>
      <c r="IF93" s="15"/>
      <c r="IG93" s="15"/>
      <c r="IH93" s="15"/>
      <c r="II93" s="15"/>
      <c r="IJ93" s="15"/>
      <c r="IK93" s="15"/>
      <c r="IL93" s="15"/>
      <c r="IM93" s="15"/>
      <c r="IN93" s="15"/>
      <c r="IO93" s="15"/>
      <c r="IP93" s="15"/>
      <c r="IQ93" s="15"/>
      <c r="IR93" s="15"/>
      <c r="IS93" s="15"/>
      <c r="IT93" s="15"/>
      <c r="IU93" s="15"/>
      <c r="IV93" s="15"/>
      <c r="IW93" s="15"/>
      <c r="IX93" s="15"/>
      <c r="IY93" s="15"/>
    </row>
    <row r="94" spans="1:265" x14ac:dyDescent="0.3">
      <c r="A94" s="476"/>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15"/>
      <c r="BV94" s="15"/>
      <c r="BW94" s="15"/>
      <c r="BX94" s="15"/>
      <c r="BY94" s="15"/>
      <c r="BZ94" s="15"/>
      <c r="CA94" s="15"/>
      <c r="CB94" s="15"/>
      <c r="CC94" s="15"/>
      <c r="CD94" s="15"/>
      <c r="CE94" s="15"/>
      <c r="CF94" s="15"/>
      <c r="CG94" s="15"/>
      <c r="CH94" s="15"/>
      <c r="CI94" s="15"/>
      <c r="CJ94" s="15"/>
      <c r="CK94" s="15"/>
      <c r="CL94" s="15"/>
      <c r="CM94" s="15"/>
      <c r="CN94" s="15"/>
      <c r="CO94" s="15"/>
      <c r="CP94" s="15"/>
      <c r="CQ94" s="15"/>
      <c r="CR94" s="15"/>
      <c r="CS94" s="15"/>
      <c r="CT94" s="15"/>
      <c r="CU94" s="15"/>
      <c r="CV94" s="15"/>
      <c r="CW94" s="15"/>
      <c r="CX94" s="15"/>
      <c r="CY94" s="15"/>
      <c r="CZ94" s="15"/>
      <c r="DA94" s="15"/>
      <c r="DB94" s="15"/>
      <c r="DC94" s="15"/>
      <c r="DD94" s="15"/>
      <c r="DE94" s="15"/>
      <c r="DF94" s="15"/>
      <c r="DG94" s="15"/>
      <c r="DH94" s="15"/>
      <c r="DI94" s="15"/>
      <c r="DJ94" s="15"/>
      <c r="DK94" s="15"/>
      <c r="DL94" s="15"/>
      <c r="DM94" s="15"/>
      <c r="DN94" s="15"/>
      <c r="DO94" s="15"/>
      <c r="DP94" s="15"/>
      <c r="DQ94" s="15"/>
      <c r="DR94" s="15"/>
      <c r="DS94" s="15"/>
      <c r="DT94" s="15"/>
      <c r="DU94" s="15"/>
      <c r="DV94" s="15"/>
      <c r="DW94" s="15"/>
      <c r="DX94" s="15"/>
      <c r="DY94" s="15"/>
      <c r="DZ94" s="15"/>
      <c r="EA94" s="15"/>
      <c r="EB94" s="15"/>
      <c r="EC94" s="15"/>
      <c r="ED94" s="15"/>
      <c r="EE94" s="15"/>
      <c r="EF94" s="15"/>
      <c r="EG94" s="15"/>
      <c r="EH94" s="15"/>
      <c r="EI94" s="15"/>
      <c r="EJ94" s="15"/>
      <c r="EK94" s="15"/>
      <c r="EL94" s="15"/>
      <c r="EM94" s="15"/>
      <c r="EN94" s="15"/>
      <c r="EO94" s="15"/>
      <c r="EP94" s="15"/>
      <c r="EQ94" s="15"/>
      <c r="ER94" s="15"/>
      <c r="ES94" s="15"/>
      <c r="ET94" s="15"/>
      <c r="EU94" s="15"/>
      <c r="EV94" s="15"/>
      <c r="EW94" s="15"/>
      <c r="EX94" s="15"/>
      <c r="EY94" s="15"/>
      <c r="EZ94" s="15"/>
      <c r="FA94" s="15"/>
      <c r="FB94" s="15"/>
      <c r="FC94" s="15"/>
      <c r="FD94" s="15"/>
      <c r="FE94" s="15"/>
      <c r="FF94" s="15"/>
      <c r="FG94" s="15"/>
      <c r="FH94" s="15"/>
      <c r="FI94" s="15"/>
      <c r="FJ94" s="15"/>
      <c r="FK94" s="15"/>
      <c r="FL94" s="15"/>
      <c r="FM94" s="15"/>
      <c r="FN94" s="15"/>
      <c r="FO94" s="15"/>
      <c r="FP94" s="15"/>
      <c r="FQ94" s="15"/>
      <c r="FR94" s="15"/>
      <c r="FS94" s="15"/>
      <c r="FT94" s="15"/>
      <c r="FU94" s="15"/>
      <c r="FV94" s="15"/>
      <c r="FW94" s="15"/>
      <c r="FX94" s="15"/>
      <c r="FY94" s="15"/>
      <c r="FZ94" s="15"/>
      <c r="GA94" s="15"/>
      <c r="GB94" s="15"/>
      <c r="GC94" s="15"/>
      <c r="GD94" s="15"/>
      <c r="GE94" s="15"/>
      <c r="GF94" s="15"/>
      <c r="GG94" s="15"/>
      <c r="GH94" s="15"/>
      <c r="GI94" s="15"/>
      <c r="GJ94" s="15"/>
      <c r="GK94" s="15"/>
      <c r="GL94" s="15"/>
      <c r="GM94" s="15"/>
      <c r="GN94" s="15"/>
      <c r="GO94" s="15"/>
      <c r="GP94" s="15"/>
      <c r="GQ94" s="15"/>
      <c r="GR94" s="15"/>
      <c r="GS94" s="15"/>
      <c r="GT94" s="15"/>
      <c r="GU94" s="15"/>
      <c r="GV94" s="15"/>
      <c r="GW94" s="15"/>
      <c r="GX94" s="15"/>
      <c r="GY94" s="15"/>
      <c r="GZ94" s="15"/>
      <c r="HA94" s="15"/>
      <c r="HB94" s="15"/>
      <c r="HC94" s="15"/>
      <c r="HD94" s="15"/>
      <c r="HE94" s="15"/>
      <c r="HF94" s="15"/>
      <c r="HG94" s="15"/>
      <c r="HH94" s="15"/>
      <c r="HI94" s="15"/>
      <c r="HJ94" s="15"/>
      <c r="HK94" s="15"/>
      <c r="HL94" s="15"/>
      <c r="HM94" s="15"/>
      <c r="HN94" s="15"/>
      <c r="HO94" s="15"/>
      <c r="HP94" s="15"/>
      <c r="HQ94" s="15"/>
      <c r="HR94" s="15"/>
      <c r="HS94" s="15"/>
      <c r="HT94" s="15"/>
      <c r="HU94" s="15"/>
      <c r="HV94" s="15"/>
      <c r="HW94" s="15"/>
      <c r="HX94" s="15"/>
      <c r="HY94" s="15"/>
      <c r="HZ94" s="15"/>
      <c r="IA94" s="15"/>
      <c r="IB94" s="15"/>
      <c r="IC94" s="15"/>
      <c r="ID94" s="15"/>
      <c r="IE94" s="15"/>
      <c r="IF94" s="15"/>
      <c r="IG94" s="15"/>
      <c r="IH94" s="15"/>
      <c r="II94" s="15"/>
      <c r="IJ94" s="15"/>
      <c r="IK94" s="15"/>
      <c r="IL94" s="15"/>
      <c r="IM94" s="15"/>
      <c r="IN94" s="15"/>
      <c r="IO94" s="15"/>
      <c r="IP94" s="15"/>
      <c r="IQ94" s="15"/>
      <c r="IR94" s="15"/>
      <c r="IS94" s="15"/>
      <c r="IT94" s="15"/>
      <c r="IU94" s="15"/>
      <c r="IV94" s="15"/>
      <c r="IW94" s="15"/>
      <c r="IX94" s="15"/>
      <c r="IY94" s="15"/>
    </row>
    <row r="95" spans="1:265" x14ac:dyDescent="0.3">
      <c r="A95" s="476"/>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c r="BO95" s="15"/>
      <c r="BP95" s="15"/>
      <c r="BQ95" s="15"/>
      <c r="BR95" s="15"/>
      <c r="BS95" s="15"/>
      <c r="BT95" s="15"/>
      <c r="BU95" s="15"/>
      <c r="BV95" s="15"/>
      <c r="BW95" s="15"/>
      <c r="BX95" s="15"/>
      <c r="BY95" s="15"/>
      <c r="BZ95" s="15"/>
      <c r="CA95" s="15"/>
      <c r="CB95" s="15"/>
      <c r="CC95" s="15"/>
      <c r="CD95" s="15"/>
      <c r="CE95" s="15"/>
      <c r="CF95" s="15"/>
      <c r="CG95" s="15"/>
      <c r="CH95" s="15"/>
      <c r="CI95" s="15"/>
      <c r="CJ95" s="15"/>
      <c r="CK95" s="15"/>
      <c r="CL95" s="15"/>
      <c r="CM95" s="15"/>
      <c r="CN95" s="15"/>
      <c r="CO95" s="15"/>
      <c r="CP95" s="15"/>
      <c r="CQ95" s="15"/>
      <c r="CR95" s="15"/>
      <c r="CS95" s="15"/>
      <c r="CT95" s="15"/>
      <c r="CU95" s="15"/>
      <c r="CV95" s="15"/>
      <c r="CW95" s="15"/>
      <c r="CX95" s="15"/>
      <c r="CY95" s="15"/>
      <c r="CZ95" s="15"/>
      <c r="DA95" s="15"/>
      <c r="DB95" s="15"/>
      <c r="DC95" s="15"/>
      <c r="DD95" s="15"/>
      <c r="DE95" s="15"/>
      <c r="DF95" s="15"/>
      <c r="DG95" s="15"/>
      <c r="DH95" s="15"/>
      <c r="DI95" s="15"/>
      <c r="DJ95" s="15"/>
      <c r="DK95" s="15"/>
      <c r="DL95" s="15"/>
      <c r="DM95" s="15"/>
      <c r="DN95" s="15"/>
      <c r="DO95" s="15"/>
      <c r="DP95" s="15"/>
      <c r="DQ95" s="15"/>
      <c r="DR95" s="15"/>
      <c r="DS95" s="15"/>
      <c r="DT95" s="15"/>
      <c r="DU95" s="15"/>
      <c r="DV95" s="15"/>
      <c r="DW95" s="15"/>
      <c r="DX95" s="15"/>
      <c r="DY95" s="15"/>
      <c r="DZ95" s="15"/>
      <c r="EA95" s="15"/>
      <c r="EB95" s="15"/>
      <c r="EC95" s="15"/>
      <c r="ED95" s="15"/>
      <c r="EE95" s="15"/>
      <c r="EF95" s="15"/>
      <c r="EG95" s="15"/>
      <c r="EH95" s="15"/>
      <c r="EI95" s="15"/>
      <c r="EJ95" s="15"/>
      <c r="EK95" s="15"/>
      <c r="EL95" s="15"/>
      <c r="EM95" s="15"/>
      <c r="EN95" s="15"/>
      <c r="EO95" s="15"/>
      <c r="EP95" s="15"/>
      <c r="EQ95" s="15"/>
      <c r="ER95" s="15"/>
      <c r="ES95" s="15"/>
      <c r="ET95" s="15"/>
      <c r="EU95" s="15"/>
      <c r="EV95" s="15"/>
      <c r="EW95" s="15"/>
      <c r="EX95" s="15"/>
      <c r="EY95" s="15"/>
      <c r="EZ95" s="15"/>
      <c r="FA95" s="15"/>
      <c r="FB95" s="15"/>
      <c r="FC95" s="15"/>
      <c r="FD95" s="15"/>
      <c r="FE95" s="15"/>
      <c r="FF95" s="15"/>
      <c r="FG95" s="15"/>
      <c r="FH95" s="15"/>
      <c r="FI95" s="15"/>
      <c r="FJ95" s="15"/>
      <c r="FK95" s="15"/>
      <c r="FL95" s="15"/>
      <c r="FM95" s="15"/>
      <c r="FN95" s="15"/>
      <c r="FO95" s="15"/>
      <c r="FP95" s="15"/>
      <c r="FQ95" s="15"/>
      <c r="FR95" s="15"/>
      <c r="FS95" s="15"/>
      <c r="FT95" s="15"/>
      <c r="FU95" s="15"/>
      <c r="FV95" s="15"/>
      <c r="FW95" s="15"/>
      <c r="FX95" s="15"/>
      <c r="FY95" s="15"/>
      <c r="FZ95" s="15"/>
      <c r="GA95" s="15"/>
      <c r="GB95" s="15"/>
      <c r="GC95" s="15"/>
      <c r="GD95" s="15"/>
      <c r="GE95" s="15"/>
      <c r="GF95" s="15"/>
      <c r="GG95" s="15"/>
      <c r="GH95" s="15"/>
      <c r="GI95" s="15"/>
      <c r="GJ95" s="15"/>
      <c r="GK95" s="15"/>
      <c r="GL95" s="15"/>
      <c r="GM95" s="15"/>
      <c r="GN95" s="15"/>
      <c r="GO95" s="15"/>
      <c r="GP95" s="15"/>
      <c r="GQ95" s="15"/>
      <c r="GR95" s="15"/>
      <c r="GS95" s="15"/>
      <c r="GT95" s="15"/>
      <c r="GU95" s="15"/>
      <c r="GV95" s="15"/>
      <c r="GW95" s="15"/>
      <c r="GX95" s="15"/>
      <c r="GY95" s="15"/>
      <c r="GZ95" s="15"/>
      <c r="HA95" s="15"/>
      <c r="HB95" s="15"/>
      <c r="HC95" s="15"/>
      <c r="HD95" s="15"/>
      <c r="HE95" s="15"/>
      <c r="HF95" s="15"/>
      <c r="HG95" s="15"/>
      <c r="HH95" s="15"/>
      <c r="HI95" s="15"/>
      <c r="HJ95" s="15"/>
      <c r="HK95" s="15"/>
      <c r="HL95" s="15"/>
      <c r="HM95" s="15"/>
      <c r="HN95" s="15"/>
      <c r="HO95" s="15"/>
      <c r="HP95" s="15"/>
      <c r="HQ95" s="15"/>
      <c r="HR95" s="15"/>
      <c r="HS95" s="15"/>
      <c r="HT95" s="15"/>
      <c r="HU95" s="15"/>
      <c r="HV95" s="15"/>
      <c r="HW95" s="15"/>
      <c r="HX95" s="15"/>
      <c r="HY95" s="15"/>
      <c r="HZ95" s="15"/>
      <c r="IA95" s="15"/>
      <c r="IB95" s="15"/>
      <c r="IC95" s="15"/>
      <c r="ID95" s="15"/>
      <c r="IE95" s="15"/>
      <c r="IF95" s="15"/>
      <c r="IG95" s="15"/>
      <c r="IH95" s="15"/>
      <c r="II95" s="15"/>
      <c r="IJ95" s="15"/>
      <c r="IK95" s="15"/>
      <c r="IL95" s="15"/>
      <c r="IM95" s="15"/>
      <c r="IN95" s="15"/>
      <c r="IO95" s="15"/>
      <c r="IP95" s="15"/>
      <c r="IQ95" s="15"/>
      <c r="IR95" s="15"/>
      <c r="IS95" s="15"/>
      <c r="IT95" s="15"/>
      <c r="IU95" s="15"/>
      <c r="IV95" s="15"/>
      <c r="IW95" s="15"/>
      <c r="IX95" s="15"/>
      <c r="IY95" s="15"/>
    </row>
    <row r="96" spans="1:265" x14ac:dyDescent="0.3">
      <c r="A96" s="476"/>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c r="BP96" s="15"/>
      <c r="BQ96" s="15"/>
      <c r="BR96" s="15"/>
      <c r="BS96" s="15"/>
      <c r="BT96" s="15"/>
      <c r="BU96" s="15"/>
      <c r="BV96" s="15"/>
      <c r="BW96" s="15"/>
      <c r="BX96" s="15"/>
      <c r="BY96" s="15"/>
      <c r="BZ96" s="15"/>
      <c r="CA96" s="15"/>
      <c r="CB96" s="15"/>
      <c r="CC96" s="15"/>
      <c r="CD96" s="15"/>
      <c r="CE96" s="15"/>
      <c r="CF96" s="15"/>
      <c r="CG96" s="15"/>
      <c r="CH96" s="15"/>
      <c r="CI96" s="15"/>
      <c r="CJ96" s="15"/>
      <c r="CK96" s="15"/>
      <c r="CL96" s="15"/>
      <c r="CM96" s="15"/>
      <c r="CN96" s="15"/>
      <c r="CO96" s="15"/>
      <c r="CP96" s="15"/>
      <c r="CQ96" s="15"/>
      <c r="CR96" s="15"/>
      <c r="CS96" s="15"/>
      <c r="CT96" s="15"/>
      <c r="CU96" s="15"/>
      <c r="CV96" s="15"/>
      <c r="CW96" s="15"/>
      <c r="CX96" s="15"/>
      <c r="CY96" s="15"/>
      <c r="CZ96" s="15"/>
      <c r="DA96" s="15"/>
      <c r="DB96" s="15"/>
      <c r="DC96" s="15"/>
      <c r="DD96" s="15"/>
      <c r="DE96" s="15"/>
      <c r="DF96" s="15"/>
      <c r="DG96" s="15"/>
      <c r="DH96" s="15"/>
      <c r="DI96" s="15"/>
      <c r="DJ96" s="15"/>
      <c r="DK96" s="15"/>
      <c r="DL96" s="15"/>
      <c r="DM96" s="15"/>
      <c r="DN96" s="15"/>
      <c r="DO96" s="15"/>
      <c r="DP96" s="15"/>
      <c r="DQ96" s="15"/>
      <c r="DR96" s="15"/>
      <c r="DS96" s="15"/>
      <c r="DT96" s="15"/>
      <c r="DU96" s="15"/>
      <c r="DV96" s="15"/>
      <c r="DW96" s="15"/>
      <c r="DX96" s="15"/>
      <c r="DY96" s="15"/>
      <c r="DZ96" s="15"/>
      <c r="EA96" s="15"/>
      <c r="EB96" s="15"/>
      <c r="EC96" s="15"/>
      <c r="ED96" s="15"/>
      <c r="EE96" s="15"/>
      <c r="EF96" s="15"/>
      <c r="EG96" s="15"/>
      <c r="EH96" s="15"/>
      <c r="EI96" s="15"/>
      <c r="EJ96" s="15"/>
      <c r="EK96" s="15"/>
      <c r="EL96" s="15"/>
      <c r="EM96" s="15"/>
      <c r="EN96" s="15"/>
      <c r="EO96" s="15"/>
      <c r="EP96" s="15"/>
      <c r="EQ96" s="15"/>
      <c r="ER96" s="15"/>
      <c r="ES96" s="15"/>
      <c r="ET96" s="15"/>
      <c r="EU96" s="15"/>
      <c r="EV96" s="15"/>
      <c r="EW96" s="15"/>
      <c r="EX96" s="15"/>
      <c r="EY96" s="15"/>
      <c r="EZ96" s="15"/>
      <c r="FA96" s="15"/>
      <c r="FB96" s="15"/>
      <c r="FC96" s="15"/>
      <c r="FD96" s="15"/>
      <c r="FE96" s="15"/>
      <c r="FF96" s="15"/>
      <c r="FG96" s="15"/>
      <c r="FH96" s="15"/>
      <c r="FI96" s="15"/>
      <c r="FJ96" s="15"/>
      <c r="FK96" s="15"/>
      <c r="FL96" s="15"/>
      <c r="FM96" s="15"/>
      <c r="FN96" s="15"/>
      <c r="FO96" s="15"/>
      <c r="FP96" s="15"/>
      <c r="FQ96" s="15"/>
      <c r="FR96" s="15"/>
      <c r="FS96" s="15"/>
      <c r="FT96" s="15"/>
      <c r="FU96" s="15"/>
      <c r="FV96" s="15"/>
      <c r="FW96" s="15"/>
      <c r="FX96" s="15"/>
      <c r="FY96" s="15"/>
      <c r="FZ96" s="15"/>
      <c r="GA96" s="15"/>
      <c r="GB96" s="15"/>
      <c r="GC96" s="15"/>
      <c r="GD96" s="15"/>
      <c r="GE96" s="15"/>
      <c r="GF96" s="15"/>
      <c r="GG96" s="15"/>
      <c r="GH96" s="15"/>
      <c r="GI96" s="15"/>
      <c r="GJ96" s="15"/>
      <c r="GK96" s="15"/>
      <c r="GL96" s="15"/>
      <c r="GM96" s="15"/>
      <c r="GN96" s="15"/>
      <c r="GO96" s="15"/>
      <c r="GP96" s="15"/>
      <c r="GQ96" s="15"/>
      <c r="GR96" s="15"/>
      <c r="GS96" s="15"/>
      <c r="GT96" s="15"/>
      <c r="GU96" s="15"/>
      <c r="GV96" s="15"/>
      <c r="GW96" s="15"/>
      <c r="GX96" s="15"/>
      <c r="GY96" s="15"/>
      <c r="GZ96" s="15"/>
      <c r="HA96" s="15"/>
      <c r="HB96" s="15"/>
      <c r="HC96" s="15"/>
      <c r="HD96" s="15"/>
      <c r="HE96" s="15"/>
      <c r="HF96" s="15"/>
      <c r="HG96" s="15"/>
      <c r="HH96" s="15"/>
      <c r="HI96" s="15"/>
      <c r="HJ96" s="15"/>
      <c r="HK96" s="15"/>
      <c r="HL96" s="15"/>
      <c r="HM96" s="15"/>
      <c r="HN96" s="15"/>
      <c r="HO96" s="15"/>
      <c r="HP96" s="15"/>
      <c r="HQ96" s="15"/>
      <c r="HR96" s="15"/>
      <c r="HS96" s="15"/>
      <c r="HT96" s="15"/>
      <c r="HU96" s="15"/>
      <c r="HV96" s="15"/>
      <c r="HW96" s="15"/>
      <c r="HX96" s="15"/>
      <c r="HY96" s="15"/>
      <c r="HZ96" s="15"/>
      <c r="IA96" s="15"/>
      <c r="IB96" s="15"/>
      <c r="IC96" s="15"/>
      <c r="ID96" s="15"/>
      <c r="IE96" s="15"/>
      <c r="IF96" s="15"/>
      <c r="IG96" s="15"/>
      <c r="IH96" s="15"/>
      <c r="II96" s="15"/>
      <c r="IJ96" s="15"/>
      <c r="IK96" s="15"/>
      <c r="IL96" s="15"/>
      <c r="IM96" s="15"/>
      <c r="IN96" s="15"/>
      <c r="IO96" s="15"/>
      <c r="IP96" s="15"/>
      <c r="IQ96" s="15"/>
      <c r="IR96" s="15"/>
      <c r="IS96" s="15"/>
      <c r="IT96" s="15"/>
      <c r="IU96" s="15"/>
      <c r="IV96" s="15"/>
      <c r="IW96" s="15"/>
      <c r="IX96" s="15"/>
      <c r="IY96" s="15"/>
    </row>
    <row r="97" spans="1:259" x14ac:dyDescent="0.3">
      <c r="A97" s="476"/>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c r="BP97" s="15"/>
      <c r="BQ97" s="15"/>
      <c r="BR97" s="15"/>
      <c r="BS97" s="15"/>
      <c r="BT97" s="15"/>
      <c r="BU97" s="15"/>
      <c r="BV97" s="15"/>
      <c r="BW97" s="15"/>
      <c r="BX97" s="15"/>
      <c r="BY97" s="15"/>
      <c r="BZ97" s="15"/>
      <c r="CA97" s="15"/>
      <c r="CB97" s="15"/>
      <c r="CC97" s="15"/>
      <c r="CD97" s="15"/>
      <c r="CE97" s="15"/>
      <c r="CF97" s="15"/>
      <c r="CG97" s="15"/>
      <c r="CH97" s="15"/>
      <c r="CI97" s="15"/>
      <c r="CJ97" s="15"/>
      <c r="CK97" s="15"/>
      <c r="CL97" s="15"/>
      <c r="CM97" s="15"/>
      <c r="CN97" s="15"/>
      <c r="CO97" s="15"/>
      <c r="CP97" s="15"/>
      <c r="CQ97" s="15"/>
      <c r="CR97" s="15"/>
      <c r="CS97" s="15"/>
      <c r="CT97" s="15"/>
      <c r="CU97" s="15"/>
      <c r="CV97" s="15"/>
      <c r="CW97" s="15"/>
      <c r="CX97" s="15"/>
      <c r="CY97" s="15"/>
      <c r="CZ97" s="15"/>
      <c r="DA97" s="15"/>
      <c r="DB97" s="15"/>
      <c r="DC97" s="15"/>
      <c r="DD97" s="15"/>
      <c r="DE97" s="15"/>
      <c r="DF97" s="15"/>
      <c r="DG97" s="15"/>
      <c r="DH97" s="15"/>
      <c r="DI97" s="15"/>
      <c r="DJ97" s="15"/>
      <c r="DK97" s="15"/>
      <c r="DL97" s="15"/>
      <c r="DM97" s="15"/>
      <c r="DN97" s="15"/>
      <c r="DO97" s="15"/>
      <c r="DP97" s="15"/>
      <c r="DQ97" s="15"/>
      <c r="DR97" s="15"/>
      <c r="DS97" s="15"/>
      <c r="DT97" s="15"/>
      <c r="DU97" s="15"/>
      <c r="DV97" s="15"/>
      <c r="DW97" s="15"/>
      <c r="DX97" s="15"/>
      <c r="DY97" s="15"/>
      <c r="DZ97" s="15"/>
      <c r="EA97" s="15"/>
      <c r="EB97" s="15"/>
      <c r="EC97" s="15"/>
      <c r="ED97" s="15"/>
      <c r="EE97" s="15"/>
      <c r="EF97" s="15"/>
      <c r="EG97" s="15"/>
      <c r="EH97" s="15"/>
      <c r="EI97" s="15"/>
      <c r="EJ97" s="15"/>
      <c r="EK97" s="15"/>
      <c r="EL97" s="15"/>
      <c r="EM97" s="15"/>
      <c r="EN97" s="15"/>
      <c r="EO97" s="15"/>
      <c r="EP97" s="15"/>
      <c r="EQ97" s="15"/>
      <c r="ER97" s="15"/>
      <c r="ES97" s="15"/>
      <c r="ET97" s="15"/>
      <c r="EU97" s="15"/>
      <c r="EV97" s="15"/>
      <c r="EW97" s="15"/>
      <c r="EX97" s="15"/>
      <c r="EY97" s="15"/>
      <c r="EZ97" s="15"/>
      <c r="FA97" s="15"/>
      <c r="FB97" s="15"/>
      <c r="FC97" s="15"/>
      <c r="FD97" s="15"/>
      <c r="FE97" s="15"/>
      <c r="FF97" s="15"/>
      <c r="FG97" s="15"/>
      <c r="FH97" s="15"/>
      <c r="FI97" s="15"/>
      <c r="FJ97" s="15"/>
      <c r="FK97" s="15"/>
      <c r="FL97" s="15"/>
      <c r="FM97" s="15"/>
      <c r="FN97" s="15"/>
      <c r="FO97" s="15"/>
      <c r="FP97" s="15"/>
      <c r="FQ97" s="15"/>
      <c r="FR97" s="15"/>
      <c r="FS97" s="15"/>
      <c r="FT97" s="15"/>
      <c r="FU97" s="15"/>
      <c r="FV97" s="15"/>
      <c r="FW97" s="15"/>
      <c r="FX97" s="15"/>
      <c r="FY97" s="15"/>
      <c r="FZ97" s="15"/>
      <c r="GA97" s="15"/>
      <c r="GB97" s="15"/>
      <c r="GC97" s="15"/>
      <c r="GD97" s="15"/>
      <c r="GE97" s="15"/>
      <c r="GF97" s="15"/>
      <c r="GG97" s="15"/>
      <c r="GH97" s="15"/>
      <c r="GI97" s="15"/>
      <c r="GJ97" s="15"/>
      <c r="GK97" s="15"/>
      <c r="GL97" s="15"/>
      <c r="GM97" s="15"/>
      <c r="GN97" s="15"/>
      <c r="GO97" s="15"/>
      <c r="GP97" s="15"/>
      <c r="GQ97" s="15"/>
      <c r="GR97" s="15"/>
      <c r="GS97" s="15"/>
      <c r="GT97" s="15"/>
      <c r="GU97" s="15"/>
      <c r="GV97" s="15"/>
      <c r="GW97" s="15"/>
      <c r="GX97" s="15"/>
      <c r="GY97" s="15"/>
      <c r="GZ97" s="15"/>
      <c r="HA97" s="15"/>
      <c r="HB97" s="15"/>
      <c r="HC97" s="15"/>
      <c r="HD97" s="15"/>
      <c r="HE97" s="15"/>
      <c r="HF97" s="15"/>
      <c r="HG97" s="15"/>
      <c r="HH97" s="15"/>
      <c r="HI97" s="15"/>
      <c r="HJ97" s="15"/>
      <c r="HK97" s="15"/>
      <c r="HL97" s="15"/>
      <c r="HM97" s="15"/>
      <c r="HN97" s="15"/>
      <c r="HO97" s="15"/>
      <c r="HP97" s="15"/>
      <c r="HQ97" s="15"/>
      <c r="HR97" s="15"/>
      <c r="HS97" s="15"/>
      <c r="HT97" s="15"/>
      <c r="HU97" s="15"/>
      <c r="HV97" s="15"/>
      <c r="HW97" s="15"/>
      <c r="HX97" s="15"/>
      <c r="HY97" s="15"/>
      <c r="HZ97" s="15"/>
      <c r="IA97" s="15"/>
      <c r="IB97" s="15"/>
      <c r="IC97" s="15"/>
      <c r="ID97" s="15"/>
      <c r="IE97" s="15"/>
      <c r="IF97" s="15"/>
      <c r="IG97" s="15"/>
      <c r="IH97" s="15"/>
      <c r="II97" s="15"/>
      <c r="IJ97" s="15"/>
      <c r="IK97" s="15"/>
      <c r="IL97" s="15"/>
      <c r="IM97" s="15"/>
      <c r="IN97" s="15"/>
      <c r="IO97" s="15"/>
      <c r="IP97" s="15"/>
      <c r="IQ97" s="15"/>
      <c r="IR97" s="15"/>
      <c r="IS97" s="15"/>
      <c r="IT97" s="15"/>
      <c r="IU97" s="15"/>
      <c r="IV97" s="15"/>
      <c r="IW97" s="15"/>
      <c r="IX97" s="15"/>
      <c r="IY97" s="15"/>
    </row>
    <row r="98" spans="1:259" x14ac:dyDescent="0.3">
      <c r="A98" s="476"/>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c r="BO98" s="15"/>
      <c r="BP98" s="15"/>
      <c r="BQ98" s="15"/>
      <c r="BR98" s="15"/>
      <c r="BS98" s="15"/>
      <c r="BT98" s="15"/>
      <c r="BU98" s="15"/>
      <c r="BV98" s="15"/>
      <c r="BW98" s="15"/>
      <c r="BX98" s="15"/>
      <c r="BY98" s="15"/>
      <c r="BZ98" s="15"/>
      <c r="CA98" s="15"/>
      <c r="CB98" s="15"/>
      <c r="CC98" s="15"/>
      <c r="CD98" s="15"/>
      <c r="CE98" s="15"/>
      <c r="CF98" s="15"/>
      <c r="CG98" s="15"/>
      <c r="CH98" s="15"/>
      <c r="CI98" s="15"/>
      <c r="CJ98" s="15"/>
      <c r="CK98" s="15"/>
      <c r="CL98" s="15"/>
      <c r="CM98" s="15"/>
      <c r="CN98" s="15"/>
      <c r="CO98" s="15"/>
      <c r="CP98" s="15"/>
      <c r="CQ98" s="15"/>
      <c r="CR98" s="15"/>
      <c r="CS98" s="15"/>
      <c r="CT98" s="15"/>
      <c r="CU98" s="15"/>
      <c r="CV98" s="15"/>
      <c r="CW98" s="15"/>
      <c r="CX98" s="15"/>
      <c r="CY98" s="15"/>
      <c r="CZ98" s="15"/>
      <c r="DA98" s="15"/>
      <c r="DB98" s="15"/>
      <c r="DC98" s="15"/>
      <c r="DD98" s="15"/>
      <c r="DE98" s="15"/>
      <c r="DF98" s="15"/>
      <c r="DG98" s="15"/>
      <c r="DH98" s="15"/>
      <c r="DI98" s="15"/>
      <c r="DJ98" s="15"/>
      <c r="DK98" s="15"/>
      <c r="DL98" s="15"/>
      <c r="DM98" s="15"/>
      <c r="DN98" s="15"/>
      <c r="DO98" s="15"/>
      <c r="DP98" s="15"/>
      <c r="DQ98" s="15"/>
      <c r="DR98" s="15"/>
      <c r="DS98" s="15"/>
      <c r="DT98" s="15"/>
      <c r="DU98" s="15"/>
      <c r="DV98" s="15"/>
      <c r="DW98" s="15"/>
      <c r="DX98" s="15"/>
      <c r="DY98" s="15"/>
      <c r="DZ98" s="15"/>
      <c r="EA98" s="15"/>
      <c r="EB98" s="15"/>
      <c r="EC98" s="15"/>
      <c r="ED98" s="15"/>
      <c r="EE98" s="15"/>
      <c r="EF98" s="15"/>
      <c r="EG98" s="15"/>
      <c r="EH98" s="15"/>
      <c r="EI98" s="15"/>
      <c r="EJ98" s="15"/>
      <c r="EK98" s="15"/>
      <c r="EL98" s="15"/>
      <c r="EM98" s="15"/>
      <c r="EN98" s="15"/>
      <c r="EO98" s="15"/>
      <c r="EP98" s="15"/>
      <c r="EQ98" s="15"/>
      <c r="ER98" s="15"/>
      <c r="ES98" s="15"/>
      <c r="ET98" s="15"/>
      <c r="EU98" s="15"/>
      <c r="EV98" s="15"/>
      <c r="EW98" s="15"/>
      <c r="EX98" s="15"/>
      <c r="EY98" s="15"/>
      <c r="EZ98" s="15"/>
      <c r="FA98" s="15"/>
      <c r="FB98" s="15"/>
      <c r="FC98" s="15"/>
      <c r="FD98" s="15"/>
      <c r="FE98" s="15"/>
      <c r="FF98" s="15"/>
      <c r="FG98" s="15"/>
      <c r="FH98" s="15"/>
      <c r="FI98" s="15"/>
      <c r="FJ98" s="15"/>
      <c r="FK98" s="15"/>
      <c r="FL98" s="15"/>
      <c r="FM98" s="15"/>
      <c r="FN98" s="15"/>
      <c r="FO98" s="15"/>
      <c r="FP98" s="15"/>
      <c r="FQ98" s="15"/>
      <c r="FR98" s="15"/>
      <c r="FS98" s="15"/>
      <c r="FT98" s="15"/>
      <c r="FU98" s="15"/>
      <c r="FV98" s="15"/>
      <c r="FW98" s="15"/>
      <c r="FX98" s="15"/>
      <c r="FY98" s="15"/>
      <c r="FZ98" s="15"/>
      <c r="GA98" s="15"/>
      <c r="GB98" s="15"/>
      <c r="GC98" s="15"/>
      <c r="GD98" s="15"/>
      <c r="GE98" s="15"/>
      <c r="GF98" s="15"/>
      <c r="GG98" s="15"/>
      <c r="GH98" s="15"/>
      <c r="GI98" s="15"/>
      <c r="GJ98" s="15"/>
      <c r="GK98" s="15"/>
      <c r="GL98" s="15"/>
      <c r="GM98" s="15"/>
      <c r="GN98" s="15"/>
      <c r="GO98" s="15"/>
      <c r="GP98" s="15"/>
      <c r="GQ98" s="15"/>
      <c r="GR98" s="15"/>
      <c r="GS98" s="15"/>
      <c r="GT98" s="15"/>
      <c r="GU98" s="15"/>
      <c r="GV98" s="15"/>
      <c r="GW98" s="15"/>
      <c r="GX98" s="15"/>
      <c r="GY98" s="15"/>
      <c r="GZ98" s="15"/>
      <c r="HA98" s="15"/>
      <c r="HB98" s="15"/>
      <c r="HC98" s="15"/>
      <c r="HD98" s="15"/>
      <c r="HE98" s="15"/>
      <c r="HF98" s="15"/>
      <c r="HG98" s="15"/>
      <c r="HH98" s="15"/>
      <c r="HI98" s="15"/>
      <c r="HJ98" s="15"/>
      <c r="HK98" s="15"/>
      <c r="HL98" s="15"/>
      <c r="HM98" s="15"/>
      <c r="HN98" s="15"/>
      <c r="HO98" s="15"/>
      <c r="HP98" s="15"/>
      <c r="HQ98" s="15"/>
      <c r="HR98" s="15"/>
      <c r="HS98" s="15"/>
      <c r="HT98" s="15"/>
      <c r="HU98" s="15"/>
      <c r="HV98" s="15"/>
      <c r="HW98" s="15"/>
      <c r="HX98" s="15"/>
      <c r="HY98" s="15"/>
      <c r="HZ98" s="15"/>
      <c r="IA98" s="15"/>
      <c r="IB98" s="15"/>
      <c r="IC98" s="15"/>
      <c r="ID98" s="15"/>
      <c r="IE98" s="15"/>
      <c r="IF98" s="15"/>
      <c r="IG98" s="15"/>
      <c r="IH98" s="15"/>
      <c r="II98" s="15"/>
      <c r="IJ98" s="15"/>
      <c r="IK98" s="15"/>
      <c r="IL98" s="15"/>
      <c r="IM98" s="15"/>
      <c r="IN98" s="15"/>
      <c r="IO98" s="15"/>
      <c r="IP98" s="15"/>
      <c r="IQ98" s="15"/>
      <c r="IR98" s="15"/>
      <c r="IS98" s="15"/>
      <c r="IT98" s="15"/>
      <c r="IU98" s="15"/>
      <c r="IV98" s="15"/>
      <c r="IW98" s="15"/>
      <c r="IX98" s="15"/>
      <c r="IY98" s="15"/>
    </row>
    <row r="99" spans="1:259" x14ac:dyDescent="0.3">
      <c r="A99" s="476"/>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c r="BR99" s="15"/>
      <c r="BS99" s="15"/>
      <c r="BT99" s="15"/>
      <c r="BU99" s="15"/>
      <c r="BV99" s="15"/>
      <c r="BW99" s="15"/>
      <c r="BX99" s="15"/>
      <c r="BY99" s="15"/>
      <c r="BZ99" s="15"/>
      <c r="CA99" s="15"/>
      <c r="CB99" s="15"/>
      <c r="CC99" s="15"/>
      <c r="CD99" s="15"/>
      <c r="CE99" s="15"/>
      <c r="CF99" s="15"/>
      <c r="CG99" s="15"/>
      <c r="CH99" s="15"/>
      <c r="CI99" s="15"/>
      <c r="CJ99" s="15"/>
      <c r="CK99" s="15"/>
      <c r="CL99" s="15"/>
      <c r="CM99" s="15"/>
      <c r="CN99" s="15"/>
      <c r="CO99" s="15"/>
      <c r="CP99" s="15"/>
      <c r="CQ99" s="15"/>
      <c r="CR99" s="15"/>
      <c r="CS99" s="15"/>
      <c r="CT99" s="15"/>
      <c r="CU99" s="15"/>
      <c r="CV99" s="15"/>
      <c r="CW99" s="15"/>
      <c r="CX99" s="15"/>
      <c r="CY99" s="15"/>
      <c r="CZ99" s="15"/>
      <c r="DA99" s="15"/>
      <c r="DB99" s="15"/>
      <c r="DC99" s="15"/>
      <c r="DD99" s="15"/>
      <c r="DE99" s="15"/>
      <c r="DF99" s="15"/>
      <c r="DG99" s="15"/>
      <c r="DH99" s="15"/>
      <c r="DI99" s="15"/>
      <c r="DJ99" s="15"/>
      <c r="DK99" s="15"/>
      <c r="DL99" s="15"/>
      <c r="DM99" s="15"/>
      <c r="DN99" s="15"/>
      <c r="DO99" s="15"/>
      <c r="DP99" s="15"/>
      <c r="DQ99" s="15"/>
      <c r="DR99" s="15"/>
      <c r="DS99" s="15"/>
      <c r="DT99" s="15"/>
      <c r="DU99" s="15"/>
      <c r="DV99" s="15"/>
      <c r="DW99" s="15"/>
      <c r="DX99" s="15"/>
      <c r="DY99" s="15"/>
      <c r="DZ99" s="15"/>
      <c r="EA99" s="15"/>
      <c r="EB99" s="15"/>
      <c r="EC99" s="15"/>
      <c r="ED99" s="15"/>
      <c r="EE99" s="15"/>
      <c r="EF99" s="15"/>
      <c r="EG99" s="15"/>
      <c r="EH99" s="15"/>
      <c r="EI99" s="15"/>
      <c r="EJ99" s="15"/>
      <c r="EK99" s="15"/>
      <c r="EL99" s="15"/>
      <c r="EM99" s="15"/>
      <c r="EN99" s="15"/>
      <c r="EO99" s="15"/>
      <c r="EP99" s="15"/>
      <c r="EQ99" s="15"/>
      <c r="ER99" s="15"/>
      <c r="ES99" s="15"/>
      <c r="ET99" s="15"/>
      <c r="EU99" s="15"/>
      <c r="EV99" s="15"/>
      <c r="EW99" s="15"/>
      <c r="EX99" s="15"/>
      <c r="EY99" s="15"/>
      <c r="EZ99" s="15"/>
      <c r="FA99" s="15"/>
      <c r="FB99" s="15"/>
      <c r="FC99" s="15"/>
      <c r="FD99" s="15"/>
      <c r="FE99" s="15"/>
      <c r="FF99" s="15"/>
      <c r="FG99" s="15"/>
      <c r="FH99" s="15"/>
      <c r="FI99" s="15"/>
      <c r="FJ99" s="15"/>
      <c r="FK99" s="15"/>
      <c r="FL99" s="15"/>
      <c r="FM99" s="15"/>
      <c r="FN99" s="15"/>
      <c r="FO99" s="15"/>
      <c r="FP99" s="15"/>
      <c r="FQ99" s="15"/>
      <c r="FR99" s="15"/>
      <c r="FS99" s="15"/>
      <c r="FT99" s="15"/>
      <c r="FU99" s="15"/>
      <c r="FV99" s="15"/>
      <c r="FW99" s="15"/>
      <c r="FX99" s="15"/>
      <c r="FY99" s="15"/>
      <c r="FZ99" s="15"/>
      <c r="GA99" s="15"/>
      <c r="GB99" s="15"/>
      <c r="GC99" s="15"/>
      <c r="GD99" s="15"/>
      <c r="GE99" s="15"/>
      <c r="GF99" s="15"/>
      <c r="GG99" s="15"/>
      <c r="GH99" s="15"/>
      <c r="GI99" s="15"/>
      <c r="GJ99" s="15"/>
      <c r="GK99" s="15"/>
      <c r="GL99" s="15"/>
      <c r="GM99" s="15"/>
      <c r="GN99" s="15"/>
      <c r="GO99" s="15"/>
      <c r="GP99" s="15"/>
      <c r="GQ99" s="15"/>
      <c r="GR99" s="15"/>
      <c r="GS99" s="15"/>
      <c r="GT99" s="15"/>
      <c r="GU99" s="15"/>
      <c r="GV99" s="15"/>
      <c r="GW99" s="15"/>
      <c r="GX99" s="15"/>
      <c r="GY99" s="15"/>
      <c r="GZ99" s="15"/>
      <c r="HA99" s="15"/>
      <c r="HB99" s="15"/>
      <c r="HC99" s="15"/>
      <c r="HD99" s="15"/>
      <c r="HE99" s="15"/>
      <c r="HF99" s="15"/>
      <c r="HG99" s="15"/>
      <c r="HH99" s="15"/>
      <c r="HI99" s="15"/>
      <c r="HJ99" s="15"/>
      <c r="HK99" s="15"/>
      <c r="HL99" s="15"/>
      <c r="HM99" s="15"/>
      <c r="HN99" s="15"/>
      <c r="HO99" s="15"/>
      <c r="HP99" s="15"/>
      <c r="HQ99" s="15"/>
      <c r="HR99" s="15"/>
      <c r="HS99" s="15"/>
      <c r="HT99" s="15"/>
      <c r="HU99" s="15"/>
      <c r="HV99" s="15"/>
      <c r="HW99" s="15"/>
      <c r="HX99" s="15"/>
      <c r="HY99" s="15"/>
      <c r="HZ99" s="15"/>
      <c r="IA99" s="15"/>
      <c r="IB99" s="15"/>
      <c r="IC99" s="15"/>
      <c r="ID99" s="15"/>
      <c r="IE99" s="15"/>
      <c r="IF99" s="15"/>
      <c r="IG99" s="15"/>
      <c r="IH99" s="15"/>
      <c r="II99" s="15"/>
      <c r="IJ99" s="15"/>
      <c r="IK99" s="15"/>
      <c r="IL99" s="15"/>
      <c r="IM99" s="15"/>
      <c r="IN99" s="15"/>
      <c r="IO99" s="15"/>
      <c r="IP99" s="15"/>
      <c r="IQ99" s="15"/>
      <c r="IR99" s="15"/>
      <c r="IS99" s="15"/>
      <c r="IT99" s="15"/>
      <c r="IU99" s="15"/>
      <c r="IV99" s="15"/>
      <c r="IW99" s="15"/>
      <c r="IX99" s="15"/>
      <c r="IY99" s="15"/>
    </row>
    <row r="100" spans="1:259" x14ac:dyDescent="0.3">
      <c r="A100" s="476"/>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c r="BT100" s="15"/>
      <c r="BU100" s="15"/>
      <c r="BV100" s="15"/>
      <c r="BW100" s="15"/>
      <c r="BX100" s="15"/>
      <c r="BY100" s="15"/>
      <c r="BZ100" s="15"/>
      <c r="CA100" s="15"/>
      <c r="CB100" s="15"/>
      <c r="CC100" s="15"/>
      <c r="CD100" s="15"/>
      <c r="CE100" s="15"/>
      <c r="CF100" s="15"/>
      <c r="CG100" s="15"/>
      <c r="CH100" s="15"/>
      <c r="CI100" s="15"/>
      <c r="CJ100" s="15"/>
      <c r="CK100" s="15"/>
      <c r="CL100" s="15"/>
      <c r="CM100" s="15"/>
      <c r="CN100" s="15"/>
      <c r="CO100" s="15"/>
      <c r="CP100" s="15"/>
      <c r="CQ100" s="15"/>
      <c r="CR100" s="15"/>
      <c r="CS100" s="15"/>
      <c r="CT100" s="15"/>
      <c r="CU100" s="15"/>
      <c r="CV100" s="15"/>
      <c r="CW100" s="15"/>
      <c r="CX100" s="15"/>
      <c r="CY100" s="15"/>
      <c r="CZ100" s="15"/>
      <c r="DA100" s="15"/>
      <c r="DB100" s="15"/>
      <c r="DC100" s="15"/>
      <c r="DD100" s="15"/>
      <c r="DE100" s="15"/>
      <c r="DF100" s="15"/>
      <c r="DG100" s="15"/>
      <c r="DH100" s="15"/>
      <c r="DI100" s="15"/>
      <c r="DJ100" s="15"/>
      <c r="DK100" s="15"/>
      <c r="DL100" s="15"/>
      <c r="DM100" s="15"/>
      <c r="DN100" s="15"/>
      <c r="DO100" s="15"/>
      <c r="DP100" s="15"/>
      <c r="DQ100" s="15"/>
      <c r="DR100" s="15"/>
      <c r="DS100" s="15"/>
      <c r="DT100" s="15"/>
      <c r="DU100" s="15"/>
      <c r="DV100" s="15"/>
      <c r="DW100" s="15"/>
      <c r="DX100" s="15"/>
      <c r="DY100" s="15"/>
      <c r="DZ100" s="15"/>
      <c r="EA100" s="15"/>
      <c r="EB100" s="15"/>
      <c r="EC100" s="15"/>
      <c r="ED100" s="15"/>
      <c r="EE100" s="15"/>
      <c r="EF100" s="15"/>
      <c r="EG100" s="15"/>
      <c r="EH100" s="15"/>
      <c r="EI100" s="15"/>
      <c r="EJ100" s="15"/>
      <c r="EK100" s="15"/>
      <c r="EL100" s="15"/>
      <c r="EM100" s="15"/>
      <c r="EN100" s="15"/>
      <c r="EO100" s="15"/>
      <c r="EP100" s="15"/>
      <c r="EQ100" s="15"/>
      <c r="ER100" s="15"/>
      <c r="ES100" s="15"/>
      <c r="ET100" s="15"/>
      <c r="EU100" s="15"/>
      <c r="EV100" s="15"/>
      <c r="EW100" s="15"/>
      <c r="EX100" s="15"/>
      <c r="EY100" s="15"/>
      <c r="EZ100" s="15"/>
      <c r="FA100" s="15"/>
      <c r="FB100" s="15"/>
      <c r="FC100" s="15"/>
      <c r="FD100" s="15"/>
      <c r="FE100" s="15"/>
      <c r="FF100" s="15"/>
      <c r="FG100" s="15"/>
      <c r="FH100" s="15"/>
      <c r="FI100" s="15"/>
      <c r="FJ100" s="15"/>
      <c r="FK100" s="15"/>
      <c r="FL100" s="15"/>
      <c r="FM100" s="15"/>
      <c r="FN100" s="15"/>
      <c r="FO100" s="15"/>
      <c r="FP100" s="15"/>
      <c r="FQ100" s="15"/>
      <c r="FR100" s="15"/>
      <c r="FS100" s="15"/>
      <c r="FT100" s="15"/>
      <c r="FU100" s="15"/>
      <c r="FV100" s="15"/>
      <c r="FW100" s="15"/>
      <c r="FX100" s="15"/>
      <c r="FY100" s="15"/>
      <c r="FZ100" s="15"/>
      <c r="GA100" s="15"/>
      <c r="GB100" s="15"/>
      <c r="GC100" s="15"/>
      <c r="GD100" s="15"/>
      <c r="GE100" s="15"/>
      <c r="GF100" s="15"/>
      <c r="GG100" s="15"/>
      <c r="GH100" s="15"/>
      <c r="GI100" s="15"/>
      <c r="GJ100" s="15"/>
      <c r="GK100" s="15"/>
      <c r="GL100" s="15"/>
      <c r="GM100" s="15"/>
      <c r="GN100" s="15"/>
      <c r="GO100" s="15"/>
      <c r="GP100" s="15"/>
      <c r="GQ100" s="15"/>
      <c r="GR100" s="15"/>
      <c r="GS100" s="15"/>
      <c r="GT100" s="15"/>
      <c r="GU100" s="15"/>
      <c r="GV100" s="15"/>
      <c r="GW100" s="15"/>
      <c r="GX100" s="15"/>
      <c r="GY100" s="15"/>
      <c r="GZ100" s="15"/>
      <c r="HA100" s="15"/>
      <c r="HB100" s="15"/>
      <c r="HC100" s="15"/>
      <c r="HD100" s="15"/>
      <c r="HE100" s="15"/>
      <c r="HF100" s="15"/>
      <c r="HG100" s="15"/>
      <c r="HH100" s="15"/>
      <c r="HI100" s="15"/>
      <c r="HJ100" s="15"/>
      <c r="HK100" s="15"/>
      <c r="HL100" s="15"/>
      <c r="HM100" s="15"/>
      <c r="HN100" s="15"/>
      <c r="HO100" s="15"/>
      <c r="HP100" s="15"/>
      <c r="HQ100" s="15"/>
      <c r="HR100" s="15"/>
      <c r="HS100" s="15"/>
      <c r="HT100" s="15"/>
      <c r="HU100" s="15"/>
      <c r="HV100" s="15"/>
      <c r="HW100" s="15"/>
      <c r="HX100" s="15"/>
      <c r="HY100" s="15"/>
      <c r="HZ100" s="15"/>
      <c r="IA100" s="15"/>
      <c r="IB100" s="15"/>
      <c r="IC100" s="15"/>
      <c r="ID100" s="15"/>
      <c r="IE100" s="15"/>
      <c r="IF100" s="15"/>
      <c r="IG100" s="15"/>
      <c r="IH100" s="15"/>
      <c r="II100" s="15"/>
      <c r="IJ100" s="15"/>
      <c r="IK100" s="15"/>
      <c r="IL100" s="15"/>
      <c r="IM100" s="15"/>
      <c r="IN100" s="15"/>
      <c r="IO100" s="15"/>
      <c r="IP100" s="15"/>
      <c r="IQ100" s="15"/>
      <c r="IR100" s="15"/>
      <c r="IS100" s="15"/>
      <c r="IT100" s="15"/>
      <c r="IU100" s="15"/>
      <c r="IV100" s="15"/>
      <c r="IW100" s="15"/>
      <c r="IX100" s="15"/>
      <c r="IY100" s="15"/>
    </row>
    <row r="101" spans="1:259" x14ac:dyDescent="0.3">
      <c r="A101" s="4"/>
      <c r="B101" s="477"/>
      <c r="C101" s="477"/>
      <c r="D101" s="477"/>
      <c r="E101" s="477"/>
      <c r="F101" s="477"/>
      <c r="G101" s="477"/>
      <c r="H101" s="477"/>
      <c r="I101" s="477"/>
      <c r="J101" s="477"/>
      <c r="K101" s="477"/>
      <c r="L101" s="477"/>
      <c r="M101" s="477"/>
      <c r="N101" s="477"/>
      <c r="O101" s="477"/>
      <c r="P101" s="477"/>
      <c r="Q101" s="477"/>
      <c r="R101" s="477"/>
      <c r="S101" s="477"/>
      <c r="T101" s="477"/>
      <c r="U101" s="477"/>
      <c r="V101" s="477"/>
      <c r="W101" s="477"/>
      <c r="X101" s="477"/>
      <c r="Y101" s="477"/>
      <c r="Z101" s="477"/>
      <c r="AA101" s="477"/>
      <c r="AB101" s="477"/>
      <c r="AC101" s="477"/>
      <c r="AD101" s="477"/>
      <c r="AE101" s="477"/>
      <c r="AF101" s="477"/>
      <c r="AG101" s="477"/>
      <c r="AH101" s="477"/>
      <c r="AI101" s="477"/>
      <c r="AJ101" s="477"/>
      <c r="AK101" s="477"/>
      <c r="AL101" s="477"/>
      <c r="AM101" s="477"/>
      <c r="AN101" s="477"/>
      <c r="AO101" s="477"/>
      <c r="AP101" s="477"/>
      <c r="AQ101" s="477"/>
      <c r="AR101" s="477"/>
      <c r="AS101" s="477"/>
      <c r="AT101" s="477"/>
      <c r="AU101" s="477"/>
      <c r="AV101" s="477"/>
      <c r="AW101" s="477"/>
      <c r="AX101" s="477"/>
      <c r="AY101" s="477"/>
      <c r="AZ101" s="477"/>
      <c r="BA101" s="477"/>
      <c r="BB101" s="477"/>
      <c r="BC101" s="477"/>
      <c r="BD101" s="477"/>
      <c r="BE101" s="477"/>
      <c r="BF101" s="477"/>
      <c r="BG101" s="477"/>
      <c r="BH101" s="477"/>
      <c r="BI101" s="477"/>
      <c r="BJ101" s="477"/>
      <c r="BK101" s="477"/>
      <c r="BL101" s="477"/>
      <c r="BM101" s="477"/>
      <c r="BN101" s="477"/>
      <c r="BO101" s="477"/>
      <c r="BP101" s="477"/>
      <c r="BQ101" s="477"/>
      <c r="BR101" s="477"/>
      <c r="BS101" s="477"/>
      <c r="BT101" s="477"/>
      <c r="BU101" s="477"/>
      <c r="BV101" s="477"/>
      <c r="BW101" s="477"/>
      <c r="BX101" s="477"/>
      <c r="BY101" s="477"/>
      <c r="BZ101" s="477"/>
      <c r="CA101" s="477"/>
      <c r="CB101" s="477"/>
      <c r="CC101" s="477"/>
      <c r="CD101" s="477"/>
      <c r="CE101" s="477"/>
      <c r="CF101" s="477"/>
      <c r="CG101" s="477"/>
      <c r="CH101" s="477"/>
      <c r="CI101" s="477"/>
      <c r="CJ101" s="477"/>
      <c r="CK101" s="477"/>
      <c r="CL101" s="477"/>
      <c r="CM101" s="477"/>
      <c r="CN101" s="477"/>
      <c r="CO101" s="477"/>
      <c r="CP101" s="477"/>
      <c r="CQ101" s="477"/>
      <c r="CR101" s="477"/>
      <c r="CS101" s="477"/>
      <c r="CT101" s="477"/>
      <c r="CU101" s="477"/>
      <c r="CV101" s="477"/>
      <c r="CW101" s="477"/>
      <c r="CX101" s="477"/>
      <c r="CY101" s="477"/>
      <c r="CZ101" s="477"/>
      <c r="DA101" s="477"/>
      <c r="DB101" s="477"/>
      <c r="DC101" s="477"/>
      <c r="DD101" s="477"/>
      <c r="DE101" s="477"/>
      <c r="DF101" s="477"/>
      <c r="DG101" s="477"/>
      <c r="DH101" s="477"/>
      <c r="DI101" s="477"/>
      <c r="DJ101" s="477"/>
      <c r="DK101" s="477"/>
      <c r="DL101" s="477"/>
      <c r="DM101" s="477"/>
      <c r="DN101" s="477"/>
      <c r="DO101" s="477"/>
      <c r="DP101" s="477"/>
      <c r="DQ101" s="477"/>
      <c r="DR101" s="477"/>
      <c r="DS101" s="477"/>
      <c r="DT101" s="477"/>
      <c r="DU101" s="477"/>
      <c r="DV101" s="477"/>
      <c r="DW101" s="477"/>
      <c r="DX101" s="477"/>
      <c r="DY101" s="477"/>
      <c r="DZ101" s="477"/>
      <c r="EA101" s="477"/>
      <c r="EB101" s="477"/>
      <c r="EC101" s="477"/>
      <c r="ED101" s="477"/>
      <c r="EE101" s="477"/>
      <c r="EF101" s="477"/>
      <c r="EG101" s="477"/>
      <c r="EH101" s="477"/>
      <c r="EI101" s="477"/>
      <c r="EJ101" s="477"/>
      <c r="EK101" s="477"/>
      <c r="EL101" s="477"/>
      <c r="EM101" s="477"/>
      <c r="EN101" s="477"/>
      <c r="EO101" s="477"/>
      <c r="EP101" s="477"/>
      <c r="EQ101" s="477"/>
      <c r="ER101" s="477"/>
      <c r="ES101" s="477"/>
      <c r="ET101" s="477"/>
      <c r="EU101" s="477"/>
      <c r="EV101" s="477"/>
      <c r="EW101" s="477"/>
      <c r="EX101" s="477"/>
      <c r="EY101" s="477"/>
      <c r="EZ101" s="477"/>
      <c r="FA101" s="477"/>
      <c r="FB101" s="477"/>
      <c r="FC101" s="477"/>
      <c r="FD101" s="477"/>
      <c r="FE101" s="477"/>
      <c r="FF101" s="477"/>
      <c r="FG101" s="477"/>
      <c r="FH101" s="477"/>
      <c r="FI101" s="477"/>
      <c r="FJ101" s="477"/>
      <c r="FK101" s="477"/>
      <c r="FL101" s="477"/>
      <c r="FM101" s="477"/>
      <c r="FN101" s="477"/>
      <c r="FO101" s="477"/>
      <c r="FP101" s="477"/>
      <c r="FQ101" s="477"/>
      <c r="FR101" s="477"/>
      <c r="FS101" s="477"/>
      <c r="FT101" s="477"/>
      <c r="FU101" s="477"/>
      <c r="FV101" s="477"/>
      <c r="FW101" s="477"/>
      <c r="FX101" s="477"/>
      <c r="FY101" s="477"/>
      <c r="FZ101" s="477"/>
      <c r="GA101" s="477"/>
      <c r="GB101" s="477"/>
      <c r="GC101" s="477"/>
      <c r="GD101" s="477"/>
      <c r="GE101" s="477"/>
      <c r="GF101" s="477"/>
      <c r="GG101" s="477"/>
      <c r="GH101" s="477"/>
      <c r="GI101" s="477"/>
      <c r="GJ101" s="477"/>
      <c r="GK101" s="477"/>
      <c r="GL101" s="477"/>
      <c r="GM101" s="477"/>
      <c r="GN101" s="477"/>
      <c r="GO101" s="477"/>
      <c r="GP101" s="477"/>
      <c r="GQ101" s="477"/>
      <c r="GR101" s="477"/>
      <c r="GS101" s="477"/>
      <c r="GT101" s="477"/>
      <c r="GU101" s="477"/>
      <c r="GV101" s="477"/>
      <c r="GW101" s="477"/>
      <c r="GX101" s="477"/>
      <c r="GY101" s="477"/>
      <c r="GZ101" s="477"/>
      <c r="HA101" s="477"/>
      <c r="HB101" s="477"/>
      <c r="HC101" s="477"/>
      <c r="HD101" s="477"/>
      <c r="HE101" s="477"/>
      <c r="HF101" s="477"/>
      <c r="HG101" s="477"/>
      <c r="HH101" s="477"/>
      <c r="HI101" s="477"/>
      <c r="HJ101" s="477"/>
      <c r="HK101" s="477"/>
      <c r="HL101" s="477"/>
      <c r="HM101" s="477"/>
      <c r="HN101" s="477"/>
      <c r="HO101" s="477"/>
      <c r="HP101" s="477"/>
      <c r="HQ101" s="477"/>
      <c r="HR101" s="477"/>
      <c r="HS101" s="477"/>
      <c r="HT101" s="477"/>
      <c r="HU101" s="477"/>
      <c r="HV101" s="477"/>
      <c r="HW101" s="477"/>
      <c r="HX101" s="477"/>
      <c r="HY101" s="477"/>
      <c r="HZ101" s="477"/>
      <c r="IA101" s="477"/>
      <c r="IB101" s="477"/>
      <c r="IC101" s="477"/>
      <c r="ID101" s="477"/>
      <c r="IE101" s="477"/>
      <c r="IF101" s="477"/>
      <c r="IG101" s="477"/>
      <c r="IH101" s="477"/>
      <c r="II101" s="477"/>
      <c r="IJ101" s="477"/>
      <c r="IK101" s="477"/>
      <c r="IL101" s="477"/>
      <c r="IM101" s="477"/>
      <c r="IN101" s="477"/>
      <c r="IO101" s="477"/>
      <c r="IP101" s="477"/>
      <c r="IQ101" s="477"/>
      <c r="IR101" s="477"/>
      <c r="IS101" s="477"/>
      <c r="IT101" s="477"/>
      <c r="IU101" s="477"/>
      <c r="IV101" s="477"/>
      <c r="IW101" s="477"/>
      <c r="IX101" s="477"/>
      <c r="IY101" s="477"/>
    </row>
    <row r="102" spans="1:259" x14ac:dyDescent="0.3">
      <c r="GK102" s="15"/>
      <c r="HC102" s="15"/>
      <c r="IN102"/>
    </row>
    <row r="103" spans="1:259" x14ac:dyDescent="0.3">
      <c r="IN103"/>
    </row>
    <row r="104" spans="1:259" x14ac:dyDescent="0.3">
      <c r="A104" s="4"/>
      <c r="IN104"/>
    </row>
    <row r="105" spans="1:259" x14ac:dyDescent="0.3">
      <c r="A105" s="4"/>
      <c r="B105" s="474"/>
      <c r="C105" s="474"/>
      <c r="D105" s="474"/>
      <c r="E105" s="474"/>
      <c r="F105" s="474"/>
      <c r="G105" s="474"/>
      <c r="H105" s="474"/>
      <c r="I105" s="474"/>
      <c r="J105" s="474"/>
      <c r="K105" s="474"/>
      <c r="L105" s="474"/>
      <c r="M105" s="474"/>
      <c r="N105" s="474"/>
      <c r="O105" s="474"/>
      <c r="P105" s="474"/>
      <c r="Q105" s="474"/>
      <c r="R105" s="474"/>
      <c r="S105" s="474"/>
      <c r="T105" s="474"/>
      <c r="U105" s="474"/>
      <c r="V105" s="474"/>
      <c r="W105" s="474"/>
      <c r="X105" s="474"/>
      <c r="Y105" s="474"/>
      <c r="Z105" s="474"/>
      <c r="AA105" s="474"/>
      <c r="AB105" s="474"/>
      <c r="AC105" s="474"/>
      <c r="AD105" s="474"/>
      <c r="AE105" s="474"/>
      <c r="AF105" s="474"/>
      <c r="AG105" s="474"/>
      <c r="AH105" s="474"/>
      <c r="AI105" s="474"/>
      <c r="AJ105" s="474"/>
      <c r="AK105" s="474"/>
      <c r="AL105" s="474"/>
      <c r="AM105" s="474"/>
      <c r="AN105" s="474"/>
      <c r="AO105" s="474"/>
      <c r="AP105" s="474"/>
      <c r="AQ105" s="474"/>
      <c r="AR105" s="474"/>
      <c r="AS105" s="474"/>
      <c r="AT105" s="474"/>
      <c r="AU105" s="474"/>
      <c r="AV105" s="474"/>
      <c r="AW105" s="474"/>
      <c r="AX105" s="474"/>
      <c r="AY105" s="474"/>
      <c r="AZ105" s="474"/>
      <c r="BA105" s="474"/>
      <c r="BB105" s="474"/>
      <c r="BC105" s="474"/>
      <c r="BD105" s="474"/>
      <c r="BE105" s="474"/>
      <c r="BF105" s="474"/>
      <c r="BG105" s="474"/>
      <c r="BH105" s="474"/>
      <c r="BI105" s="474"/>
      <c r="BJ105" s="474"/>
      <c r="BK105" s="474"/>
      <c r="BL105" s="474"/>
      <c r="BM105" s="474"/>
      <c r="BN105" s="474"/>
      <c r="BO105" s="474"/>
      <c r="BP105" s="474"/>
      <c r="BQ105" s="474"/>
      <c r="BR105" s="474"/>
      <c r="BS105" s="474"/>
      <c r="BT105" s="474"/>
      <c r="BU105" s="474"/>
      <c r="BV105" s="474"/>
      <c r="BW105" s="474"/>
      <c r="BX105" s="474"/>
      <c r="BY105" s="474"/>
      <c r="BZ105" s="474"/>
      <c r="CA105" s="474"/>
      <c r="CB105" s="474"/>
      <c r="CC105" s="474"/>
      <c r="CD105" s="474"/>
      <c r="CE105" s="474"/>
      <c r="CF105" s="475"/>
      <c r="CG105" s="475"/>
      <c r="CH105" s="475"/>
      <c r="CI105" s="475"/>
      <c r="CJ105" s="475"/>
      <c r="CK105" s="475"/>
      <c r="CL105" s="475"/>
      <c r="CM105" s="475"/>
      <c r="CN105" s="475"/>
      <c r="CO105" s="475"/>
      <c r="CP105" s="475"/>
      <c r="CQ105" s="475"/>
      <c r="CR105" s="475"/>
      <c r="CS105" s="475"/>
      <c r="CT105" s="475"/>
      <c r="CU105" s="475"/>
      <c r="CV105" s="475"/>
      <c r="CW105" s="475"/>
      <c r="CX105" s="475"/>
      <c r="CY105" s="475"/>
      <c r="CZ105" s="475"/>
      <c r="DA105" s="475"/>
      <c r="DB105" s="475"/>
      <c r="DC105" s="475"/>
      <c r="DD105" s="475"/>
      <c r="DE105" s="475"/>
      <c r="DF105" s="475"/>
      <c r="DG105" s="475"/>
      <c r="DH105" s="475"/>
      <c r="DI105" s="475"/>
      <c r="DJ105" s="475"/>
      <c r="DK105" s="475"/>
      <c r="DL105" s="475"/>
      <c r="DM105" s="475"/>
      <c r="DN105" s="475"/>
      <c r="DO105" s="475"/>
      <c r="DP105" s="475"/>
      <c r="DQ105" s="475"/>
      <c r="DR105" s="475"/>
      <c r="DS105" s="475"/>
      <c r="DT105" s="475"/>
      <c r="DU105" s="475"/>
      <c r="DV105" s="475"/>
      <c r="DW105" s="475"/>
      <c r="DX105" s="475"/>
      <c r="DY105" s="475"/>
      <c r="DZ105" s="475"/>
      <c r="EA105" s="475"/>
      <c r="EB105" s="475"/>
      <c r="EC105" s="475"/>
      <c r="ED105" s="475"/>
      <c r="EE105" s="475"/>
      <c r="EF105" s="475"/>
      <c r="EG105" s="475"/>
      <c r="EH105" s="475"/>
      <c r="EI105" s="475"/>
      <c r="EJ105" s="475"/>
      <c r="EK105" s="475"/>
      <c r="EL105" s="475"/>
      <c r="EM105" s="475"/>
      <c r="EN105" s="475"/>
      <c r="EO105" s="475"/>
      <c r="EP105" s="475"/>
      <c r="EQ105" s="475"/>
      <c r="ER105" s="475"/>
      <c r="ES105" s="475"/>
      <c r="ET105" s="475"/>
      <c r="EU105" s="475"/>
      <c r="EV105" s="475"/>
      <c r="EW105" s="475"/>
      <c r="EX105" s="475"/>
      <c r="EY105" s="475"/>
      <c r="EZ105" s="475"/>
      <c r="FA105" s="475"/>
      <c r="FB105" s="475"/>
      <c r="FC105" s="475"/>
      <c r="FD105" s="475"/>
      <c r="FE105" s="475"/>
      <c r="FF105" s="475"/>
      <c r="FG105" s="475"/>
      <c r="FH105" s="475"/>
      <c r="FI105" s="475"/>
      <c r="FJ105" s="475"/>
      <c r="FK105" s="475"/>
      <c r="FL105" s="475"/>
      <c r="FM105" s="475"/>
      <c r="FN105" s="475"/>
      <c r="FO105" s="475"/>
      <c r="FP105" s="475"/>
      <c r="FQ105" s="475"/>
      <c r="FR105" s="475"/>
      <c r="FS105" s="475"/>
      <c r="FT105" s="475"/>
      <c r="FU105" s="475"/>
      <c r="FV105" s="475"/>
      <c r="FW105" s="475"/>
      <c r="FX105" s="475"/>
      <c r="FY105" s="475"/>
      <c r="FZ105" s="475"/>
      <c r="GA105" s="475"/>
      <c r="GB105" s="475"/>
      <c r="GC105" s="475"/>
      <c r="GD105" s="475"/>
      <c r="GE105" s="475"/>
      <c r="GF105" s="475"/>
      <c r="GG105" s="475"/>
      <c r="GH105" s="475"/>
      <c r="GI105" s="475"/>
      <c r="GJ105" s="475"/>
      <c r="GK105" s="475"/>
      <c r="GL105" s="475"/>
      <c r="GM105" s="475"/>
      <c r="GN105" s="475"/>
      <c r="GO105" s="475"/>
      <c r="GP105" s="475"/>
      <c r="GQ105" s="475"/>
      <c r="GR105" s="475"/>
      <c r="GS105" s="475"/>
      <c r="GT105" s="475"/>
      <c r="GU105" s="475"/>
      <c r="GV105" s="475"/>
      <c r="GW105" s="475"/>
      <c r="GX105" s="475"/>
      <c r="GY105" s="475"/>
      <c r="GZ105" s="475"/>
      <c r="HA105" s="475"/>
      <c r="HB105" s="475"/>
      <c r="HC105" s="475"/>
      <c r="HD105" s="475"/>
      <c r="HE105" s="475"/>
      <c r="HF105" s="475"/>
      <c r="HG105" s="475"/>
      <c r="HH105" s="475"/>
      <c r="HI105" s="475"/>
      <c r="HJ105" s="475"/>
      <c r="HK105" s="475"/>
      <c r="HL105" s="475"/>
      <c r="HM105" s="475"/>
      <c r="HN105" s="475"/>
      <c r="HO105" s="475"/>
      <c r="HP105" s="475"/>
      <c r="HQ105" s="475"/>
      <c r="HR105" s="475"/>
      <c r="HS105" s="475"/>
      <c r="HT105" s="475"/>
      <c r="HU105" s="475"/>
      <c r="HV105" s="475"/>
      <c r="HW105" s="475"/>
      <c r="HX105" s="475"/>
      <c r="HY105" s="475"/>
      <c r="HZ105" s="475"/>
      <c r="IA105" s="475"/>
      <c r="IB105" s="475"/>
      <c r="IC105" s="475"/>
      <c r="ID105" s="475"/>
      <c r="IE105" s="475"/>
      <c r="IF105" s="475"/>
      <c r="IG105" s="475"/>
      <c r="IH105" s="475"/>
      <c r="II105" s="475"/>
      <c r="IJ105" s="475"/>
      <c r="IK105" s="475"/>
      <c r="IL105" s="475"/>
      <c r="IM105" s="475"/>
      <c r="IN105" s="475"/>
      <c r="IO105" s="475"/>
      <c r="IP105" s="475"/>
      <c r="IQ105" s="475"/>
      <c r="IR105" s="475"/>
      <c r="IS105" s="475"/>
      <c r="IT105" s="475"/>
      <c r="IU105" s="475"/>
      <c r="IV105" s="475"/>
      <c r="IW105" s="475"/>
      <c r="IX105" s="475"/>
      <c r="IY105" s="475"/>
    </row>
    <row r="106" spans="1:259" x14ac:dyDescent="0.3">
      <c r="A106" s="476"/>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c r="BM106" s="15"/>
      <c r="BN106" s="15"/>
      <c r="BO106" s="15"/>
      <c r="BP106" s="15"/>
      <c r="BQ106" s="15"/>
      <c r="BR106" s="15"/>
      <c r="BS106" s="15"/>
      <c r="BT106" s="15"/>
      <c r="BU106" s="15"/>
      <c r="BV106" s="15"/>
      <c r="BW106" s="15"/>
      <c r="BX106" s="15"/>
      <c r="BY106" s="15"/>
      <c r="BZ106" s="15"/>
      <c r="CA106" s="15"/>
      <c r="CB106" s="15"/>
      <c r="CC106" s="15"/>
      <c r="CD106" s="15"/>
      <c r="CE106" s="15"/>
      <c r="CF106" s="15"/>
      <c r="CG106" s="15"/>
      <c r="CH106" s="15"/>
      <c r="CI106" s="15"/>
      <c r="CJ106" s="15"/>
      <c r="CK106" s="15"/>
      <c r="CL106" s="15"/>
      <c r="CM106" s="15"/>
      <c r="CN106" s="15"/>
      <c r="CO106" s="15"/>
      <c r="CP106" s="15"/>
      <c r="CQ106" s="15"/>
      <c r="CR106" s="15"/>
      <c r="CS106" s="15"/>
      <c r="CT106" s="15"/>
      <c r="CU106" s="15"/>
      <c r="CV106" s="15"/>
      <c r="CW106" s="15"/>
      <c r="CX106" s="15"/>
      <c r="CY106" s="15"/>
      <c r="CZ106" s="15"/>
      <c r="DA106" s="15"/>
      <c r="DB106" s="15"/>
      <c r="DC106" s="15"/>
      <c r="DD106" s="15"/>
      <c r="DE106" s="15"/>
      <c r="DF106" s="15"/>
      <c r="DG106" s="15"/>
      <c r="DH106" s="15"/>
      <c r="DI106" s="15"/>
      <c r="DJ106" s="15"/>
      <c r="DK106" s="15"/>
      <c r="DL106" s="15"/>
      <c r="DM106" s="15"/>
      <c r="DN106" s="15"/>
      <c r="DO106" s="15"/>
      <c r="DP106" s="15"/>
      <c r="DQ106" s="15"/>
      <c r="DR106" s="15"/>
      <c r="DS106" s="15"/>
      <c r="DT106" s="15"/>
      <c r="DU106" s="15"/>
      <c r="DV106" s="15"/>
      <c r="DW106" s="15"/>
      <c r="DX106" s="15"/>
      <c r="DY106" s="15"/>
      <c r="DZ106" s="15"/>
      <c r="EA106" s="15"/>
      <c r="EB106" s="15"/>
      <c r="EC106" s="15"/>
      <c r="ED106" s="15"/>
      <c r="EE106" s="15"/>
      <c r="EF106" s="15"/>
      <c r="EG106" s="15"/>
      <c r="EH106" s="15"/>
      <c r="EI106" s="15"/>
      <c r="EJ106" s="15"/>
      <c r="EK106" s="15"/>
      <c r="EL106" s="15"/>
      <c r="EM106" s="15"/>
      <c r="EN106" s="15"/>
      <c r="EO106" s="15"/>
      <c r="EP106" s="15"/>
      <c r="EQ106" s="15"/>
      <c r="ER106" s="15"/>
      <c r="ES106" s="15"/>
      <c r="ET106" s="15"/>
      <c r="EU106" s="15"/>
      <c r="EV106" s="15"/>
      <c r="EW106" s="15"/>
      <c r="EX106" s="15"/>
      <c r="EY106" s="15"/>
      <c r="EZ106" s="15"/>
      <c r="FA106" s="15"/>
      <c r="FB106" s="15"/>
      <c r="FC106" s="15"/>
      <c r="FD106" s="15"/>
      <c r="FE106" s="15"/>
      <c r="FF106" s="15"/>
      <c r="FG106" s="15"/>
      <c r="FH106" s="15"/>
      <c r="FI106" s="15"/>
      <c r="FJ106" s="15"/>
      <c r="FK106" s="15"/>
      <c r="FL106" s="15"/>
      <c r="FM106" s="15"/>
      <c r="FN106" s="15"/>
      <c r="FO106" s="15"/>
      <c r="FP106" s="15"/>
      <c r="FQ106" s="15"/>
      <c r="FR106" s="15"/>
      <c r="FS106" s="15"/>
      <c r="FT106" s="15"/>
      <c r="FU106" s="15"/>
      <c r="FV106" s="15"/>
      <c r="FW106" s="15"/>
      <c r="FX106" s="15"/>
      <c r="FY106" s="15"/>
      <c r="FZ106" s="15"/>
      <c r="GA106" s="15"/>
      <c r="GB106" s="15"/>
      <c r="GC106" s="15"/>
      <c r="GD106" s="15"/>
      <c r="GE106" s="15"/>
      <c r="GF106" s="15"/>
      <c r="GG106" s="15"/>
      <c r="GH106" s="15"/>
      <c r="GI106" s="15"/>
      <c r="GJ106" s="15"/>
      <c r="GK106" s="15"/>
      <c r="GL106" s="15"/>
      <c r="GM106" s="15"/>
      <c r="GN106" s="15"/>
      <c r="GO106" s="15"/>
      <c r="GP106" s="15"/>
      <c r="GQ106" s="15"/>
      <c r="GR106" s="15"/>
      <c r="GS106" s="15"/>
      <c r="GT106" s="15"/>
      <c r="GU106" s="15"/>
      <c r="GV106" s="15"/>
      <c r="GW106" s="15"/>
      <c r="GX106" s="15"/>
      <c r="GY106" s="15"/>
      <c r="GZ106" s="15"/>
      <c r="HA106" s="15"/>
      <c r="HB106" s="15"/>
      <c r="HC106" s="15"/>
      <c r="HD106" s="15"/>
      <c r="HE106" s="15"/>
      <c r="HF106" s="15"/>
      <c r="HG106" s="15"/>
      <c r="HH106" s="15"/>
      <c r="HI106" s="15"/>
      <c r="HJ106" s="15"/>
      <c r="HK106" s="15"/>
      <c r="HL106" s="15"/>
      <c r="HM106" s="15"/>
      <c r="HN106" s="15"/>
      <c r="HO106" s="15"/>
      <c r="HP106" s="15"/>
      <c r="HQ106" s="15"/>
      <c r="HR106" s="15"/>
      <c r="HS106" s="15"/>
      <c r="HT106" s="15"/>
      <c r="HU106" s="15"/>
      <c r="HV106" s="15"/>
      <c r="HW106" s="15"/>
      <c r="HX106" s="15"/>
      <c r="HY106" s="15"/>
      <c r="HZ106" s="15"/>
      <c r="IA106" s="15"/>
      <c r="IB106" s="15"/>
      <c r="IC106" s="15"/>
      <c r="ID106" s="15"/>
      <c r="IE106" s="15"/>
      <c r="IF106" s="15"/>
      <c r="IG106" s="15"/>
      <c r="IH106" s="15"/>
      <c r="II106" s="15"/>
      <c r="IJ106" s="15"/>
      <c r="IK106" s="15"/>
      <c r="IL106" s="15"/>
      <c r="IM106" s="15"/>
      <c r="IN106" s="15"/>
      <c r="IO106" s="15"/>
      <c r="IP106" s="15"/>
      <c r="IQ106" s="15"/>
      <c r="IR106" s="15"/>
      <c r="IS106" s="15"/>
      <c r="IT106" s="15"/>
      <c r="IU106" s="15"/>
      <c r="IV106" s="15"/>
      <c r="IW106" s="15"/>
      <c r="IX106" s="15"/>
      <c r="IY106" s="15"/>
    </row>
    <row r="107" spans="1:259" x14ac:dyDescent="0.3">
      <c r="A107" s="476"/>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c r="BM107" s="15"/>
      <c r="BN107" s="15"/>
      <c r="BO107" s="15"/>
      <c r="BP107" s="15"/>
      <c r="BQ107" s="15"/>
      <c r="BR107" s="15"/>
      <c r="BS107" s="15"/>
      <c r="BT107" s="15"/>
      <c r="BU107" s="15"/>
      <c r="BV107" s="15"/>
      <c r="BW107" s="15"/>
      <c r="BX107" s="15"/>
      <c r="BY107" s="15"/>
      <c r="BZ107" s="15"/>
      <c r="CA107" s="15"/>
      <c r="CB107" s="15"/>
      <c r="CC107" s="15"/>
      <c r="CD107" s="15"/>
      <c r="CE107" s="15"/>
      <c r="CF107" s="15"/>
      <c r="CG107" s="15"/>
      <c r="CH107" s="15"/>
      <c r="CI107" s="15"/>
      <c r="CJ107" s="15"/>
      <c r="CK107" s="15"/>
      <c r="CL107" s="15"/>
      <c r="CM107" s="15"/>
      <c r="CN107" s="15"/>
      <c r="CO107" s="15"/>
      <c r="CP107" s="15"/>
      <c r="CQ107" s="15"/>
      <c r="CR107" s="15"/>
      <c r="CS107" s="15"/>
      <c r="CT107" s="15"/>
      <c r="CU107" s="15"/>
      <c r="CV107" s="15"/>
      <c r="CW107" s="15"/>
      <c r="CX107" s="15"/>
      <c r="CY107" s="15"/>
      <c r="CZ107" s="15"/>
      <c r="DA107" s="15"/>
      <c r="DB107" s="15"/>
      <c r="DC107" s="15"/>
      <c r="DD107" s="15"/>
      <c r="DE107" s="15"/>
      <c r="DF107" s="15"/>
      <c r="DG107" s="15"/>
      <c r="DH107" s="15"/>
      <c r="DI107" s="15"/>
      <c r="DJ107" s="15"/>
      <c r="DK107" s="15"/>
      <c r="DL107" s="15"/>
      <c r="DM107" s="15"/>
      <c r="DN107" s="15"/>
      <c r="DO107" s="15"/>
      <c r="DP107" s="15"/>
      <c r="DQ107" s="15"/>
      <c r="DR107" s="15"/>
      <c r="DS107" s="15"/>
      <c r="DT107" s="15"/>
      <c r="DU107" s="15"/>
      <c r="DV107" s="15"/>
      <c r="DW107" s="15"/>
      <c r="DX107" s="15"/>
      <c r="DY107" s="15"/>
      <c r="DZ107" s="15"/>
      <c r="EA107" s="15"/>
      <c r="EB107" s="15"/>
      <c r="EC107" s="15"/>
      <c r="ED107" s="15"/>
      <c r="EE107" s="15"/>
      <c r="EF107" s="15"/>
      <c r="EG107" s="15"/>
      <c r="EH107" s="15"/>
      <c r="EI107" s="15"/>
      <c r="EJ107" s="15"/>
      <c r="EK107" s="15"/>
      <c r="EL107" s="15"/>
      <c r="EM107" s="15"/>
      <c r="EN107" s="15"/>
      <c r="EO107" s="15"/>
      <c r="EP107" s="15"/>
      <c r="EQ107" s="15"/>
      <c r="ER107" s="15"/>
      <c r="ES107" s="15"/>
      <c r="ET107" s="15"/>
      <c r="EU107" s="15"/>
      <c r="EV107" s="15"/>
      <c r="EW107" s="15"/>
      <c r="EX107" s="15"/>
      <c r="EY107" s="15"/>
      <c r="EZ107" s="15"/>
      <c r="FA107" s="15"/>
      <c r="FB107" s="15"/>
      <c r="FC107" s="15"/>
      <c r="FD107" s="15"/>
      <c r="FE107" s="15"/>
      <c r="FF107" s="15"/>
      <c r="FG107" s="15"/>
      <c r="FH107" s="15"/>
      <c r="FI107" s="15"/>
      <c r="FJ107" s="15"/>
      <c r="FK107" s="15"/>
      <c r="FL107" s="15"/>
      <c r="FM107" s="15"/>
      <c r="FN107" s="15"/>
      <c r="FO107" s="15"/>
      <c r="FP107" s="15"/>
      <c r="FQ107" s="15"/>
      <c r="FR107" s="15"/>
      <c r="FS107" s="15"/>
      <c r="FT107" s="15"/>
      <c r="FU107" s="15"/>
      <c r="FV107" s="15"/>
      <c r="FW107" s="15"/>
      <c r="FX107" s="15"/>
      <c r="FY107" s="15"/>
      <c r="FZ107" s="15"/>
      <c r="GA107" s="15"/>
      <c r="GB107" s="15"/>
      <c r="GC107" s="15"/>
      <c r="GD107" s="15"/>
      <c r="GE107" s="15"/>
      <c r="GF107" s="15"/>
      <c r="GG107" s="15"/>
      <c r="GH107" s="15"/>
      <c r="GI107" s="15"/>
      <c r="GJ107" s="15"/>
      <c r="GK107" s="15"/>
      <c r="GL107" s="15"/>
      <c r="GM107" s="15"/>
      <c r="GN107" s="15"/>
      <c r="GO107" s="15"/>
      <c r="GP107" s="15"/>
      <c r="GQ107" s="15"/>
      <c r="GR107" s="15"/>
      <c r="GS107" s="15"/>
      <c r="GT107" s="15"/>
      <c r="GU107" s="15"/>
      <c r="GV107" s="15"/>
      <c r="GW107" s="15"/>
      <c r="GX107" s="15"/>
      <c r="GY107" s="15"/>
      <c r="GZ107" s="15"/>
      <c r="HA107" s="15"/>
      <c r="HB107" s="15"/>
      <c r="HC107" s="15"/>
      <c r="HD107" s="15"/>
      <c r="HE107" s="15"/>
      <c r="HF107" s="15"/>
      <c r="HG107" s="15"/>
      <c r="HH107" s="15"/>
      <c r="HI107" s="15"/>
      <c r="HJ107" s="15"/>
      <c r="HK107" s="15"/>
      <c r="HL107" s="15"/>
      <c r="HM107" s="15"/>
      <c r="HN107" s="15"/>
      <c r="HO107" s="15"/>
      <c r="HP107" s="15"/>
      <c r="HQ107" s="15"/>
      <c r="HR107" s="15"/>
      <c r="HS107" s="15"/>
      <c r="HT107" s="15"/>
      <c r="HU107" s="15"/>
      <c r="HV107" s="15"/>
      <c r="HW107" s="15"/>
      <c r="HX107" s="15"/>
      <c r="HY107" s="15"/>
      <c r="HZ107" s="15"/>
      <c r="IA107" s="15"/>
      <c r="IB107" s="15"/>
      <c r="IC107" s="15"/>
      <c r="ID107" s="15"/>
      <c r="IE107" s="15"/>
      <c r="IF107" s="15"/>
      <c r="IG107" s="15"/>
      <c r="IH107" s="15"/>
      <c r="II107" s="15"/>
      <c r="IJ107" s="15"/>
      <c r="IK107" s="15"/>
      <c r="IL107" s="15"/>
      <c r="IM107" s="15"/>
      <c r="IN107" s="15"/>
      <c r="IO107" s="15"/>
      <c r="IP107" s="15"/>
      <c r="IQ107" s="15"/>
      <c r="IR107" s="15"/>
      <c r="IS107" s="15"/>
      <c r="IT107" s="15"/>
      <c r="IU107" s="15"/>
      <c r="IV107" s="15"/>
      <c r="IW107" s="15"/>
      <c r="IX107" s="15"/>
      <c r="IY107" s="15"/>
    </row>
    <row r="108" spans="1:259" x14ac:dyDescent="0.3">
      <c r="A108" s="476"/>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c r="BM108" s="15"/>
      <c r="BN108" s="15"/>
      <c r="BO108" s="15"/>
      <c r="BP108" s="15"/>
      <c r="BQ108" s="15"/>
      <c r="BR108" s="15"/>
      <c r="BS108" s="15"/>
      <c r="BT108" s="15"/>
      <c r="BU108" s="15"/>
      <c r="BV108" s="15"/>
      <c r="BW108" s="15"/>
      <c r="BX108" s="15"/>
      <c r="BY108" s="15"/>
      <c r="BZ108" s="15"/>
      <c r="CA108" s="15"/>
      <c r="CB108" s="15"/>
      <c r="CC108" s="15"/>
      <c r="CD108" s="15"/>
      <c r="CE108" s="15"/>
      <c r="CF108" s="15"/>
      <c r="CG108" s="15"/>
      <c r="CH108" s="15"/>
      <c r="CI108" s="15"/>
      <c r="CJ108" s="15"/>
      <c r="CK108" s="15"/>
      <c r="CL108" s="15"/>
      <c r="CM108" s="15"/>
      <c r="CN108" s="15"/>
      <c r="CO108" s="15"/>
      <c r="CP108" s="15"/>
      <c r="CQ108" s="15"/>
      <c r="CR108" s="15"/>
      <c r="CS108" s="15"/>
      <c r="CT108" s="15"/>
      <c r="CU108" s="15"/>
      <c r="CV108" s="15"/>
      <c r="CW108" s="15"/>
      <c r="CX108" s="15"/>
      <c r="CY108" s="15"/>
      <c r="CZ108" s="15"/>
      <c r="DA108" s="15"/>
      <c r="DB108" s="15"/>
      <c r="DC108" s="15"/>
      <c r="DD108" s="15"/>
      <c r="DE108" s="15"/>
      <c r="DF108" s="15"/>
      <c r="DG108" s="15"/>
      <c r="DH108" s="15"/>
      <c r="DI108" s="15"/>
      <c r="DJ108" s="15"/>
      <c r="DK108" s="15"/>
      <c r="DL108" s="15"/>
      <c r="DM108" s="15"/>
      <c r="DN108" s="15"/>
      <c r="DO108" s="15"/>
      <c r="DP108" s="15"/>
      <c r="DQ108" s="15"/>
      <c r="DR108" s="15"/>
      <c r="DS108" s="15"/>
      <c r="DT108" s="15"/>
      <c r="DU108" s="15"/>
      <c r="DV108" s="15"/>
      <c r="DW108" s="15"/>
      <c r="DX108" s="15"/>
      <c r="DY108" s="15"/>
      <c r="DZ108" s="15"/>
      <c r="EA108" s="15"/>
      <c r="EB108" s="15"/>
      <c r="EC108" s="15"/>
      <c r="ED108" s="15"/>
      <c r="EE108" s="15"/>
      <c r="EF108" s="15"/>
      <c r="EG108" s="15"/>
      <c r="EH108" s="15"/>
      <c r="EI108" s="15"/>
      <c r="EJ108" s="15"/>
      <c r="EK108" s="15"/>
      <c r="EL108" s="15"/>
      <c r="EM108" s="15"/>
      <c r="EN108" s="15"/>
      <c r="EO108" s="15"/>
      <c r="EP108" s="15"/>
      <c r="EQ108" s="15"/>
      <c r="ER108" s="15"/>
      <c r="ES108" s="15"/>
      <c r="ET108" s="15"/>
      <c r="EU108" s="15"/>
      <c r="EV108" s="15"/>
      <c r="EW108" s="15"/>
      <c r="EX108" s="15"/>
      <c r="EY108" s="15"/>
      <c r="EZ108" s="15"/>
      <c r="FA108" s="15"/>
      <c r="FB108" s="15"/>
      <c r="FC108" s="15"/>
      <c r="FD108" s="15"/>
      <c r="FE108" s="15"/>
      <c r="FF108" s="15"/>
      <c r="FG108" s="15"/>
      <c r="FH108" s="15"/>
      <c r="FI108" s="15"/>
      <c r="FJ108" s="15"/>
      <c r="FK108" s="15"/>
      <c r="FL108" s="15"/>
      <c r="FM108" s="15"/>
      <c r="FN108" s="15"/>
      <c r="FO108" s="15"/>
      <c r="FP108" s="15"/>
      <c r="FQ108" s="15"/>
      <c r="FR108" s="15"/>
      <c r="FS108" s="15"/>
      <c r="FT108" s="15"/>
      <c r="FU108" s="15"/>
      <c r="FV108" s="15"/>
      <c r="FW108" s="15"/>
      <c r="FX108" s="15"/>
      <c r="FY108" s="15"/>
      <c r="FZ108" s="15"/>
      <c r="GA108" s="15"/>
      <c r="GB108" s="15"/>
      <c r="GC108" s="15"/>
      <c r="GD108" s="15"/>
      <c r="GE108" s="15"/>
      <c r="GF108" s="15"/>
      <c r="GG108" s="15"/>
      <c r="GH108" s="15"/>
      <c r="GI108" s="15"/>
      <c r="GJ108" s="15"/>
      <c r="GK108" s="15"/>
      <c r="GL108" s="15"/>
      <c r="GM108" s="15"/>
      <c r="GN108" s="15"/>
      <c r="GO108" s="15"/>
      <c r="GP108" s="15"/>
      <c r="GQ108" s="15"/>
      <c r="GR108" s="15"/>
      <c r="GS108" s="15"/>
      <c r="GT108" s="15"/>
      <c r="GU108" s="15"/>
      <c r="GV108" s="15"/>
      <c r="GW108" s="15"/>
      <c r="GX108" s="15"/>
      <c r="GY108" s="15"/>
      <c r="GZ108" s="15"/>
      <c r="HA108" s="15"/>
      <c r="HB108" s="15"/>
      <c r="HC108" s="15"/>
      <c r="HD108" s="15"/>
      <c r="HE108" s="15"/>
      <c r="HF108" s="15"/>
      <c r="HG108" s="15"/>
      <c r="HH108" s="15"/>
      <c r="HI108" s="15"/>
      <c r="HJ108" s="15"/>
      <c r="HK108" s="15"/>
      <c r="HL108" s="15"/>
      <c r="HM108" s="15"/>
      <c r="HN108" s="15"/>
      <c r="HO108" s="15"/>
      <c r="HP108" s="15"/>
      <c r="HQ108" s="15"/>
      <c r="HR108" s="15"/>
      <c r="HS108" s="15"/>
      <c r="HT108" s="15"/>
      <c r="HU108" s="15"/>
      <c r="HV108" s="15"/>
      <c r="HW108" s="15"/>
      <c r="HX108" s="15"/>
      <c r="HY108" s="15"/>
      <c r="HZ108" s="15"/>
      <c r="IA108" s="15"/>
      <c r="IB108" s="15"/>
      <c r="IC108" s="15"/>
      <c r="ID108" s="15"/>
      <c r="IE108" s="15"/>
      <c r="IF108" s="15"/>
      <c r="IG108" s="15"/>
      <c r="IH108" s="15"/>
      <c r="II108" s="15"/>
      <c r="IJ108" s="15"/>
      <c r="IK108" s="15"/>
      <c r="IL108" s="15"/>
      <c r="IM108" s="15"/>
      <c r="IN108" s="15"/>
      <c r="IO108" s="15"/>
      <c r="IP108" s="15"/>
      <c r="IQ108" s="15"/>
      <c r="IR108" s="15"/>
      <c r="IS108" s="15"/>
      <c r="IT108" s="15"/>
      <c r="IU108" s="15"/>
      <c r="IV108" s="15"/>
      <c r="IW108" s="15"/>
      <c r="IX108" s="15"/>
      <c r="IY108" s="15"/>
    </row>
    <row r="109" spans="1:259" x14ac:dyDescent="0.3">
      <c r="A109" s="476"/>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c r="BM109" s="15"/>
      <c r="BN109" s="15"/>
      <c r="BO109" s="15"/>
      <c r="BP109" s="15"/>
      <c r="BQ109" s="15"/>
      <c r="BR109" s="15"/>
      <c r="BS109" s="15"/>
      <c r="BT109" s="15"/>
      <c r="BU109" s="15"/>
      <c r="BV109" s="15"/>
      <c r="BW109" s="15"/>
      <c r="BX109" s="15"/>
      <c r="BY109" s="15"/>
      <c r="BZ109" s="15"/>
      <c r="CA109" s="15"/>
      <c r="CB109" s="15"/>
      <c r="CC109" s="15"/>
      <c r="CD109" s="15"/>
      <c r="CE109" s="15"/>
      <c r="CF109" s="15"/>
      <c r="CG109" s="15"/>
      <c r="CH109" s="15"/>
      <c r="CI109" s="15"/>
      <c r="CJ109" s="15"/>
      <c r="CK109" s="15"/>
      <c r="CL109" s="15"/>
      <c r="CM109" s="15"/>
      <c r="CN109" s="15"/>
      <c r="CO109" s="15"/>
      <c r="CP109" s="15"/>
      <c r="CQ109" s="15"/>
      <c r="CR109" s="15"/>
      <c r="CS109" s="15"/>
      <c r="CT109" s="15"/>
      <c r="CU109" s="15"/>
      <c r="CV109" s="15"/>
      <c r="CW109" s="15"/>
      <c r="CX109" s="15"/>
      <c r="CY109" s="15"/>
      <c r="CZ109" s="15"/>
      <c r="DA109" s="15"/>
      <c r="DB109" s="15"/>
      <c r="DC109" s="15"/>
      <c r="DD109" s="15"/>
      <c r="DE109" s="15"/>
      <c r="DF109" s="15"/>
      <c r="DG109" s="15"/>
      <c r="DH109" s="15"/>
      <c r="DI109" s="15"/>
      <c r="DJ109" s="15"/>
      <c r="DK109" s="15"/>
      <c r="DL109" s="15"/>
      <c r="DM109" s="15"/>
      <c r="DN109" s="15"/>
      <c r="DO109" s="15"/>
      <c r="DP109" s="15"/>
      <c r="DQ109" s="15"/>
      <c r="DR109" s="15"/>
      <c r="DS109" s="15"/>
      <c r="DT109" s="15"/>
      <c r="DU109" s="15"/>
      <c r="DV109" s="15"/>
      <c r="DW109" s="15"/>
      <c r="DX109" s="15"/>
      <c r="DY109" s="15"/>
      <c r="DZ109" s="15"/>
      <c r="EA109" s="15"/>
      <c r="EB109" s="15"/>
      <c r="EC109" s="15"/>
      <c r="ED109" s="15"/>
      <c r="EE109" s="15"/>
      <c r="EF109" s="15"/>
      <c r="EG109" s="15"/>
      <c r="EH109" s="15"/>
      <c r="EI109" s="15"/>
      <c r="EJ109" s="15"/>
      <c r="EK109" s="15"/>
      <c r="EL109" s="15"/>
      <c r="EM109" s="15"/>
      <c r="EN109" s="15"/>
      <c r="EO109" s="15"/>
      <c r="EP109" s="15"/>
      <c r="EQ109" s="15"/>
      <c r="ER109" s="15"/>
      <c r="ES109" s="15"/>
      <c r="ET109" s="15"/>
      <c r="EU109" s="15"/>
      <c r="EV109" s="15"/>
      <c r="EW109" s="15"/>
      <c r="EX109" s="15"/>
      <c r="EY109" s="15"/>
      <c r="EZ109" s="15"/>
      <c r="FA109" s="15"/>
      <c r="FB109" s="15"/>
      <c r="FC109" s="15"/>
      <c r="FD109" s="15"/>
      <c r="FE109" s="15"/>
      <c r="FF109" s="15"/>
      <c r="FG109" s="15"/>
      <c r="FH109" s="15"/>
      <c r="FI109" s="15"/>
      <c r="FJ109" s="15"/>
      <c r="FK109" s="15"/>
      <c r="FL109" s="15"/>
      <c r="FM109" s="15"/>
      <c r="FN109" s="15"/>
      <c r="FO109" s="15"/>
      <c r="FP109" s="15"/>
      <c r="FQ109" s="15"/>
      <c r="FR109" s="15"/>
      <c r="FS109" s="15"/>
      <c r="FT109" s="15"/>
      <c r="FU109" s="15"/>
      <c r="FV109" s="15"/>
      <c r="FW109" s="15"/>
      <c r="FX109" s="15"/>
      <c r="FY109" s="15"/>
      <c r="FZ109" s="15"/>
      <c r="GA109" s="15"/>
      <c r="GB109" s="15"/>
      <c r="GC109" s="15"/>
      <c r="GD109" s="15"/>
      <c r="GE109" s="15"/>
      <c r="GF109" s="15"/>
      <c r="GG109" s="15"/>
      <c r="GH109" s="15"/>
      <c r="GI109" s="15"/>
      <c r="GJ109" s="15"/>
      <c r="GK109" s="15"/>
      <c r="GL109" s="15"/>
      <c r="GM109" s="15"/>
      <c r="GN109" s="15"/>
      <c r="GO109" s="15"/>
      <c r="GP109" s="15"/>
      <c r="GQ109" s="15"/>
      <c r="GR109" s="15"/>
      <c r="GS109" s="15"/>
      <c r="GT109" s="15"/>
      <c r="GU109" s="15"/>
      <c r="GV109" s="15"/>
      <c r="GW109" s="15"/>
      <c r="GX109" s="15"/>
      <c r="GY109" s="15"/>
      <c r="GZ109" s="15"/>
      <c r="HA109" s="15"/>
      <c r="HB109" s="15"/>
      <c r="HC109" s="15"/>
      <c r="HD109" s="15"/>
      <c r="HE109" s="15"/>
      <c r="HF109" s="15"/>
      <c r="HG109" s="15"/>
      <c r="HH109" s="15"/>
      <c r="HI109" s="15"/>
      <c r="HJ109" s="15"/>
      <c r="HK109" s="15"/>
      <c r="HL109" s="15"/>
      <c r="HM109" s="15"/>
      <c r="HN109" s="15"/>
      <c r="HO109" s="15"/>
      <c r="HP109" s="15"/>
      <c r="HQ109" s="15"/>
      <c r="HR109" s="15"/>
      <c r="HS109" s="15"/>
      <c r="HT109" s="15"/>
      <c r="HU109" s="15"/>
      <c r="HV109" s="15"/>
      <c r="HW109" s="15"/>
      <c r="HX109" s="15"/>
      <c r="HY109" s="15"/>
      <c r="HZ109" s="15"/>
      <c r="IA109" s="15"/>
      <c r="IB109" s="15"/>
      <c r="IC109" s="15"/>
      <c r="ID109" s="15"/>
      <c r="IE109" s="15"/>
      <c r="IF109" s="15"/>
      <c r="IG109" s="15"/>
      <c r="IH109" s="15"/>
      <c r="II109" s="15"/>
      <c r="IJ109" s="15"/>
      <c r="IK109" s="15"/>
      <c r="IL109" s="15"/>
      <c r="IM109" s="15"/>
      <c r="IN109" s="15"/>
      <c r="IO109" s="15"/>
      <c r="IP109" s="15"/>
      <c r="IQ109" s="15"/>
      <c r="IR109" s="15"/>
      <c r="IS109" s="15"/>
      <c r="IT109" s="15"/>
      <c r="IU109" s="15"/>
      <c r="IV109" s="15"/>
      <c r="IW109" s="15"/>
      <c r="IX109" s="15"/>
      <c r="IY109" s="15"/>
    </row>
    <row r="110" spans="1:259" x14ac:dyDescent="0.3">
      <c r="A110" s="476"/>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c r="BM110" s="15"/>
      <c r="BN110" s="15"/>
      <c r="BO110" s="15"/>
      <c r="BP110" s="15"/>
      <c r="BQ110" s="15"/>
      <c r="BR110" s="15"/>
      <c r="BS110" s="15"/>
      <c r="BT110" s="15"/>
      <c r="BU110" s="15"/>
      <c r="BV110" s="15"/>
      <c r="BW110" s="15"/>
      <c r="BX110" s="15"/>
      <c r="BY110" s="15"/>
      <c r="BZ110" s="15"/>
      <c r="CA110" s="15"/>
      <c r="CB110" s="15"/>
      <c r="CC110" s="15"/>
      <c r="CD110" s="15"/>
      <c r="CE110" s="15"/>
      <c r="CF110" s="15"/>
      <c r="CG110" s="15"/>
      <c r="CH110" s="15"/>
      <c r="CI110" s="15"/>
      <c r="CJ110" s="15"/>
      <c r="CK110" s="15"/>
      <c r="CL110" s="15"/>
      <c r="CM110" s="15"/>
      <c r="CN110" s="15"/>
      <c r="CO110" s="15"/>
      <c r="CP110" s="15"/>
      <c r="CQ110" s="15"/>
      <c r="CR110" s="15"/>
      <c r="CS110" s="15"/>
      <c r="CT110" s="15"/>
      <c r="CU110" s="15"/>
      <c r="CV110" s="15"/>
      <c r="CW110" s="15"/>
      <c r="CX110" s="15"/>
      <c r="CY110" s="15"/>
      <c r="CZ110" s="15"/>
      <c r="DA110" s="15"/>
      <c r="DB110" s="15"/>
      <c r="DC110" s="15"/>
      <c r="DD110" s="15"/>
      <c r="DE110" s="15"/>
      <c r="DF110" s="15"/>
      <c r="DG110" s="15"/>
      <c r="DH110" s="15"/>
      <c r="DI110" s="15"/>
      <c r="DJ110" s="15"/>
      <c r="DK110" s="15"/>
      <c r="DL110" s="15"/>
      <c r="DM110" s="15"/>
      <c r="DN110" s="15"/>
      <c r="DO110" s="15"/>
      <c r="DP110" s="15"/>
      <c r="DQ110" s="15"/>
      <c r="DR110" s="15"/>
      <c r="DS110" s="15"/>
      <c r="DT110" s="15"/>
      <c r="DU110" s="15"/>
      <c r="DV110" s="15"/>
      <c r="DW110" s="15"/>
      <c r="DX110" s="15"/>
      <c r="DY110" s="15"/>
      <c r="DZ110" s="15"/>
      <c r="EA110" s="15"/>
      <c r="EB110" s="15"/>
      <c r="EC110" s="15"/>
      <c r="ED110" s="15"/>
      <c r="EE110" s="15"/>
      <c r="EF110" s="15"/>
      <c r="EG110" s="15"/>
      <c r="EH110" s="15"/>
      <c r="EI110" s="15"/>
      <c r="EJ110" s="15"/>
      <c r="EK110" s="15"/>
      <c r="EL110" s="15"/>
      <c r="EM110" s="15"/>
      <c r="EN110" s="15"/>
      <c r="EO110" s="15"/>
      <c r="EP110" s="15"/>
      <c r="EQ110" s="15"/>
      <c r="ER110" s="15"/>
      <c r="ES110" s="15"/>
      <c r="ET110" s="15"/>
      <c r="EU110" s="15"/>
      <c r="EV110" s="15"/>
      <c r="EW110" s="15"/>
      <c r="EX110" s="15"/>
      <c r="EY110" s="15"/>
      <c r="EZ110" s="15"/>
      <c r="FA110" s="15"/>
      <c r="FB110" s="15"/>
      <c r="FC110" s="15"/>
      <c r="FD110" s="15"/>
      <c r="FE110" s="15"/>
      <c r="FF110" s="15"/>
      <c r="FG110" s="15"/>
      <c r="FH110" s="15"/>
      <c r="FI110" s="15"/>
      <c r="FJ110" s="15"/>
      <c r="FK110" s="15"/>
      <c r="FL110" s="15"/>
      <c r="FM110" s="15"/>
      <c r="FN110" s="15"/>
      <c r="FO110" s="15"/>
      <c r="FP110" s="15"/>
      <c r="FQ110" s="15"/>
      <c r="FR110" s="15"/>
      <c r="FS110" s="15"/>
      <c r="FT110" s="15"/>
      <c r="FU110" s="15"/>
      <c r="FV110" s="15"/>
      <c r="FW110" s="15"/>
      <c r="FX110" s="15"/>
      <c r="FY110" s="15"/>
      <c r="FZ110" s="15"/>
      <c r="GA110" s="15"/>
      <c r="GB110" s="15"/>
      <c r="GC110" s="15"/>
      <c r="GD110" s="15"/>
      <c r="GE110" s="15"/>
      <c r="GF110" s="15"/>
      <c r="GG110" s="15"/>
      <c r="GH110" s="15"/>
      <c r="GI110" s="15"/>
      <c r="GJ110" s="15"/>
      <c r="GK110" s="15"/>
      <c r="GL110" s="15"/>
      <c r="GM110" s="15"/>
      <c r="GN110" s="15"/>
      <c r="GO110" s="15"/>
      <c r="GP110" s="15"/>
      <c r="GQ110" s="15"/>
      <c r="GR110" s="15"/>
      <c r="GS110" s="15"/>
      <c r="GT110" s="15"/>
      <c r="GU110" s="15"/>
      <c r="GV110" s="15"/>
      <c r="GW110" s="15"/>
      <c r="GX110" s="15"/>
      <c r="GY110" s="15"/>
      <c r="GZ110" s="15"/>
      <c r="HA110" s="15"/>
      <c r="HB110" s="15"/>
      <c r="HC110" s="15"/>
      <c r="HD110" s="15"/>
      <c r="HE110" s="15"/>
      <c r="HF110" s="15"/>
      <c r="HG110" s="15"/>
      <c r="HH110" s="15"/>
      <c r="HI110" s="15"/>
      <c r="HJ110" s="15"/>
      <c r="HK110" s="15"/>
      <c r="HL110" s="15"/>
      <c r="HM110" s="15"/>
      <c r="HN110" s="15"/>
      <c r="HO110" s="15"/>
      <c r="HP110" s="15"/>
      <c r="HQ110" s="15"/>
      <c r="HR110" s="15"/>
      <c r="HS110" s="15"/>
      <c r="HT110" s="15"/>
      <c r="HU110" s="15"/>
      <c r="HV110" s="15"/>
      <c r="HW110" s="15"/>
      <c r="HX110" s="15"/>
      <c r="HY110" s="15"/>
      <c r="HZ110" s="15"/>
      <c r="IA110" s="15"/>
      <c r="IB110" s="15"/>
      <c r="IC110" s="15"/>
      <c r="ID110" s="15"/>
      <c r="IE110" s="15"/>
      <c r="IF110" s="15"/>
      <c r="IG110" s="15"/>
      <c r="IH110" s="15"/>
      <c r="II110" s="15"/>
      <c r="IJ110" s="15"/>
      <c r="IK110" s="15"/>
      <c r="IL110" s="15"/>
      <c r="IM110" s="15"/>
      <c r="IN110" s="15"/>
      <c r="IO110" s="15"/>
      <c r="IP110" s="15"/>
      <c r="IQ110" s="15"/>
      <c r="IR110" s="15"/>
      <c r="IS110" s="15"/>
      <c r="IT110" s="15"/>
      <c r="IU110" s="15"/>
      <c r="IV110" s="15"/>
      <c r="IW110" s="15"/>
      <c r="IX110" s="15"/>
      <c r="IY110" s="15"/>
    </row>
    <row r="111" spans="1:259" x14ac:dyDescent="0.3">
      <c r="A111" s="476"/>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c r="BM111" s="15"/>
      <c r="BN111" s="15"/>
      <c r="BO111" s="15"/>
      <c r="BP111" s="15"/>
      <c r="BQ111" s="15"/>
      <c r="BR111" s="15"/>
      <c r="BS111" s="15"/>
      <c r="BT111" s="15"/>
      <c r="BU111" s="15"/>
      <c r="BV111" s="15"/>
      <c r="BW111" s="15"/>
      <c r="BX111" s="15"/>
      <c r="BY111" s="15"/>
      <c r="BZ111" s="15"/>
      <c r="CA111" s="15"/>
      <c r="CB111" s="15"/>
      <c r="CC111" s="15"/>
      <c r="CD111" s="15"/>
      <c r="CE111" s="15"/>
      <c r="CF111" s="15"/>
      <c r="CG111" s="15"/>
      <c r="CH111" s="15"/>
      <c r="CI111" s="15"/>
      <c r="CJ111" s="15"/>
      <c r="CK111" s="15"/>
      <c r="CL111" s="15"/>
      <c r="CM111" s="15"/>
      <c r="CN111" s="15"/>
      <c r="CO111" s="15"/>
      <c r="CP111" s="15"/>
      <c r="CQ111" s="15"/>
      <c r="CR111" s="15"/>
      <c r="CS111" s="15"/>
      <c r="CT111" s="15"/>
      <c r="CU111" s="15"/>
      <c r="CV111" s="15"/>
      <c r="CW111" s="15"/>
      <c r="CX111" s="15"/>
      <c r="CY111" s="15"/>
      <c r="CZ111" s="15"/>
      <c r="DA111" s="15"/>
      <c r="DB111" s="15"/>
      <c r="DC111" s="15"/>
      <c r="DD111" s="15"/>
      <c r="DE111" s="15"/>
      <c r="DF111" s="15"/>
      <c r="DG111" s="15"/>
      <c r="DH111" s="15"/>
      <c r="DI111" s="15"/>
      <c r="DJ111" s="15"/>
      <c r="DK111" s="15"/>
      <c r="DL111" s="15"/>
      <c r="DM111" s="15"/>
      <c r="DN111" s="15"/>
      <c r="DO111" s="15"/>
      <c r="DP111" s="15"/>
      <c r="DQ111" s="15"/>
      <c r="DR111" s="15"/>
      <c r="DS111" s="15"/>
      <c r="DT111" s="15"/>
      <c r="DU111" s="15"/>
      <c r="DV111" s="15"/>
      <c r="DW111" s="15"/>
      <c r="DX111" s="15"/>
      <c r="DY111" s="15"/>
      <c r="DZ111" s="15"/>
      <c r="EA111" s="15"/>
      <c r="EB111" s="15"/>
      <c r="EC111" s="15"/>
      <c r="ED111" s="15"/>
      <c r="EE111" s="15"/>
      <c r="EF111" s="15"/>
      <c r="EG111" s="15"/>
      <c r="EH111" s="15"/>
      <c r="EI111" s="15"/>
      <c r="EJ111" s="15"/>
      <c r="EK111" s="15"/>
      <c r="EL111" s="15"/>
      <c r="EM111" s="15"/>
      <c r="EN111" s="15"/>
      <c r="EO111" s="15"/>
      <c r="EP111" s="15"/>
      <c r="EQ111" s="15"/>
      <c r="ER111" s="15"/>
      <c r="ES111" s="15"/>
      <c r="ET111" s="15"/>
      <c r="EU111" s="15"/>
      <c r="EV111" s="15"/>
      <c r="EW111" s="15"/>
      <c r="EX111" s="15"/>
      <c r="EY111" s="15"/>
      <c r="EZ111" s="15"/>
      <c r="FA111" s="15"/>
      <c r="FB111" s="15"/>
      <c r="FC111" s="15"/>
      <c r="FD111" s="15"/>
      <c r="FE111" s="15"/>
      <c r="FF111" s="15"/>
      <c r="FG111" s="15"/>
      <c r="FH111" s="15"/>
      <c r="FI111" s="15"/>
      <c r="FJ111" s="15"/>
      <c r="FK111" s="15"/>
      <c r="FL111" s="15"/>
      <c r="FM111" s="15"/>
      <c r="FN111" s="15"/>
      <c r="FO111" s="15"/>
      <c r="FP111" s="15"/>
      <c r="FQ111" s="15"/>
      <c r="FR111" s="15"/>
      <c r="FS111" s="15"/>
      <c r="FT111" s="15"/>
      <c r="FU111" s="15"/>
      <c r="FV111" s="15"/>
      <c r="FW111" s="15"/>
      <c r="FX111" s="15"/>
      <c r="FY111" s="15"/>
      <c r="FZ111" s="15"/>
      <c r="GA111" s="15"/>
      <c r="GB111" s="15"/>
      <c r="GC111" s="15"/>
      <c r="GD111" s="15"/>
      <c r="GE111" s="15"/>
      <c r="GF111" s="15"/>
      <c r="GG111" s="15"/>
      <c r="GH111" s="15"/>
      <c r="GI111" s="15"/>
      <c r="GJ111" s="15"/>
      <c r="GK111" s="15"/>
      <c r="GL111" s="15"/>
      <c r="GM111" s="15"/>
      <c r="GN111" s="15"/>
      <c r="GO111" s="15"/>
      <c r="GP111" s="15"/>
      <c r="GQ111" s="15"/>
      <c r="GR111" s="15"/>
      <c r="GS111" s="15"/>
      <c r="GT111" s="15"/>
      <c r="GU111" s="15"/>
      <c r="GV111" s="15"/>
      <c r="GW111" s="15"/>
      <c r="GX111" s="15"/>
      <c r="GY111" s="15"/>
      <c r="GZ111" s="15"/>
      <c r="HA111" s="15"/>
      <c r="HB111" s="15"/>
      <c r="HC111" s="15"/>
      <c r="HD111" s="15"/>
      <c r="HE111" s="15"/>
      <c r="HF111" s="15"/>
      <c r="HG111" s="15"/>
      <c r="HH111" s="15"/>
      <c r="HI111" s="15"/>
      <c r="HJ111" s="15"/>
      <c r="HK111" s="15"/>
      <c r="HL111" s="15"/>
      <c r="HM111" s="15"/>
      <c r="HN111" s="15"/>
      <c r="HO111" s="15"/>
      <c r="HP111" s="15"/>
      <c r="HQ111" s="15"/>
      <c r="HR111" s="15"/>
      <c r="HS111" s="15"/>
      <c r="HT111" s="15"/>
      <c r="HU111" s="15"/>
      <c r="HV111" s="15"/>
      <c r="HW111" s="15"/>
      <c r="HX111" s="15"/>
      <c r="HY111" s="15"/>
      <c r="HZ111" s="15"/>
      <c r="IA111" s="15"/>
      <c r="IB111" s="15"/>
      <c r="IC111" s="15"/>
      <c r="ID111" s="15"/>
      <c r="IE111" s="15"/>
      <c r="IF111" s="15"/>
      <c r="IG111" s="15"/>
      <c r="IH111" s="15"/>
      <c r="II111" s="15"/>
      <c r="IJ111" s="15"/>
      <c r="IK111" s="15"/>
      <c r="IL111" s="15"/>
      <c r="IM111" s="15"/>
      <c r="IN111" s="15"/>
      <c r="IO111" s="15"/>
      <c r="IP111" s="15"/>
      <c r="IQ111" s="15"/>
      <c r="IR111" s="15"/>
      <c r="IS111" s="15"/>
      <c r="IT111" s="15"/>
      <c r="IU111" s="15"/>
      <c r="IV111" s="15"/>
      <c r="IW111" s="15"/>
      <c r="IX111" s="15"/>
      <c r="IY111" s="15"/>
    </row>
    <row r="112" spans="1:259" x14ac:dyDescent="0.3">
      <c r="A112" s="476"/>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c r="BM112" s="15"/>
      <c r="BN112" s="15"/>
      <c r="BO112" s="15"/>
      <c r="BP112" s="15"/>
      <c r="BQ112" s="15"/>
      <c r="BR112" s="15"/>
      <c r="BS112" s="15"/>
      <c r="BT112" s="15"/>
      <c r="BU112" s="15"/>
      <c r="BV112" s="15"/>
      <c r="BW112" s="15"/>
      <c r="BX112" s="15"/>
      <c r="BY112" s="15"/>
      <c r="BZ112" s="15"/>
      <c r="CA112" s="15"/>
      <c r="CB112" s="15"/>
      <c r="CC112" s="15"/>
      <c r="CD112" s="15"/>
      <c r="CE112" s="15"/>
      <c r="CF112" s="15"/>
      <c r="CG112" s="15"/>
      <c r="CH112" s="15"/>
      <c r="CI112" s="15"/>
      <c r="CJ112" s="15"/>
      <c r="CK112" s="15"/>
      <c r="CL112" s="15"/>
      <c r="CM112" s="15"/>
      <c r="CN112" s="15"/>
      <c r="CO112" s="15"/>
      <c r="CP112" s="15"/>
      <c r="CQ112" s="15"/>
      <c r="CR112" s="15"/>
      <c r="CS112" s="15"/>
      <c r="CT112" s="15"/>
      <c r="CU112" s="15"/>
      <c r="CV112" s="15"/>
      <c r="CW112" s="15"/>
      <c r="CX112" s="15"/>
      <c r="CY112" s="15"/>
      <c r="CZ112" s="15"/>
      <c r="DA112" s="15"/>
      <c r="DB112" s="15"/>
      <c r="DC112" s="15"/>
      <c r="DD112" s="15"/>
      <c r="DE112" s="15"/>
      <c r="DF112" s="15"/>
      <c r="DG112" s="15"/>
      <c r="DH112" s="15"/>
      <c r="DI112" s="15"/>
      <c r="DJ112" s="15"/>
      <c r="DK112" s="15"/>
      <c r="DL112" s="15"/>
      <c r="DM112" s="15"/>
      <c r="DN112" s="15"/>
      <c r="DO112" s="15"/>
      <c r="DP112" s="15"/>
      <c r="DQ112" s="15"/>
      <c r="DR112" s="15"/>
      <c r="DS112" s="15"/>
      <c r="DT112" s="15"/>
      <c r="DU112" s="15"/>
      <c r="DV112" s="15"/>
      <c r="DW112" s="15"/>
      <c r="DX112" s="15"/>
      <c r="DY112" s="15"/>
      <c r="DZ112" s="15"/>
      <c r="EA112" s="15"/>
      <c r="EB112" s="15"/>
      <c r="EC112" s="15"/>
      <c r="ED112" s="15"/>
      <c r="EE112" s="15"/>
      <c r="EF112" s="15"/>
      <c r="EG112" s="15"/>
      <c r="EH112" s="15"/>
      <c r="EI112" s="15"/>
      <c r="EJ112" s="15"/>
      <c r="EK112" s="15"/>
      <c r="EL112" s="15"/>
      <c r="EM112" s="15"/>
      <c r="EN112" s="15"/>
      <c r="EO112" s="15"/>
      <c r="EP112" s="15"/>
      <c r="EQ112" s="15"/>
      <c r="ER112" s="15"/>
      <c r="ES112" s="15"/>
      <c r="ET112" s="15"/>
      <c r="EU112" s="15"/>
      <c r="EV112" s="15"/>
      <c r="EW112" s="15"/>
      <c r="EX112" s="15"/>
      <c r="EY112" s="15"/>
      <c r="EZ112" s="15"/>
      <c r="FA112" s="15"/>
      <c r="FB112" s="15"/>
      <c r="FC112" s="15"/>
      <c r="FD112" s="15"/>
      <c r="FE112" s="15"/>
      <c r="FF112" s="15"/>
      <c r="FG112" s="15"/>
      <c r="FH112" s="15"/>
      <c r="FI112" s="15"/>
      <c r="FJ112" s="15"/>
      <c r="FK112" s="15"/>
      <c r="FL112" s="15"/>
      <c r="FM112" s="15"/>
      <c r="FN112" s="15"/>
      <c r="FO112" s="15"/>
      <c r="FP112" s="15"/>
      <c r="FQ112" s="15"/>
      <c r="FR112" s="15"/>
      <c r="FS112" s="15"/>
      <c r="FT112" s="15"/>
      <c r="FU112" s="15"/>
      <c r="FV112" s="15"/>
      <c r="FW112" s="15"/>
      <c r="FX112" s="15"/>
      <c r="FY112" s="15"/>
      <c r="FZ112" s="15"/>
      <c r="GA112" s="15"/>
      <c r="GB112" s="15"/>
      <c r="GC112" s="15"/>
      <c r="GD112" s="15"/>
      <c r="GE112" s="15"/>
      <c r="GF112" s="15"/>
      <c r="GG112" s="15"/>
      <c r="GH112" s="15"/>
      <c r="GI112" s="15"/>
      <c r="GJ112" s="15"/>
      <c r="GK112" s="15"/>
      <c r="GL112" s="15"/>
      <c r="GM112" s="15"/>
      <c r="GN112" s="15"/>
      <c r="GO112" s="15"/>
      <c r="GP112" s="15"/>
      <c r="GQ112" s="15"/>
      <c r="GR112" s="15"/>
      <c r="GS112" s="15"/>
      <c r="GT112" s="15"/>
      <c r="GU112" s="15"/>
      <c r="GV112" s="15"/>
      <c r="GW112" s="15"/>
      <c r="GX112" s="15"/>
      <c r="GY112" s="15"/>
      <c r="GZ112" s="15"/>
      <c r="HA112" s="15"/>
      <c r="HB112" s="15"/>
      <c r="HC112" s="15"/>
      <c r="HD112" s="15"/>
      <c r="HE112" s="15"/>
      <c r="HF112" s="15"/>
      <c r="HG112" s="15"/>
      <c r="HH112" s="15"/>
      <c r="HI112" s="15"/>
      <c r="HJ112" s="15"/>
      <c r="HK112" s="15"/>
      <c r="HL112" s="15"/>
      <c r="HM112" s="15"/>
      <c r="HN112" s="15"/>
      <c r="HO112" s="15"/>
      <c r="HP112" s="15"/>
      <c r="HQ112" s="15"/>
      <c r="HR112" s="15"/>
      <c r="HS112" s="15"/>
      <c r="HT112" s="15"/>
      <c r="HU112" s="15"/>
      <c r="HV112" s="15"/>
      <c r="HW112" s="15"/>
      <c r="HX112" s="15"/>
      <c r="HY112" s="15"/>
      <c r="HZ112" s="15"/>
      <c r="IA112" s="15"/>
      <c r="IB112" s="15"/>
      <c r="IC112" s="15"/>
      <c r="ID112" s="15"/>
      <c r="IE112" s="15"/>
      <c r="IF112" s="15"/>
      <c r="IG112" s="15"/>
      <c r="IH112" s="15"/>
      <c r="II112" s="15"/>
      <c r="IJ112" s="15"/>
      <c r="IK112" s="15"/>
      <c r="IL112" s="15"/>
      <c r="IM112" s="15"/>
      <c r="IN112" s="15"/>
      <c r="IO112" s="15"/>
      <c r="IP112" s="15"/>
      <c r="IQ112" s="15"/>
      <c r="IR112" s="15"/>
      <c r="IS112" s="15"/>
      <c r="IT112" s="15"/>
      <c r="IU112" s="15"/>
      <c r="IV112" s="15"/>
      <c r="IW112" s="15"/>
      <c r="IX112" s="15"/>
      <c r="IY112" s="15"/>
    </row>
    <row r="113" spans="1:267" x14ac:dyDescent="0.3">
      <c r="A113" s="476"/>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c r="BQ113" s="15"/>
      <c r="BR113" s="15"/>
      <c r="BS113" s="15"/>
      <c r="BT113" s="15"/>
      <c r="BU113" s="15"/>
      <c r="BV113" s="15"/>
      <c r="BW113" s="15"/>
      <c r="BX113" s="15"/>
      <c r="BY113" s="15"/>
      <c r="BZ113" s="15"/>
      <c r="CA113" s="15"/>
      <c r="CB113" s="15"/>
      <c r="CC113" s="15"/>
      <c r="CD113" s="15"/>
      <c r="CE113" s="15"/>
      <c r="CF113" s="15"/>
      <c r="CG113" s="15"/>
      <c r="CH113" s="15"/>
      <c r="CI113" s="15"/>
      <c r="CJ113" s="15"/>
      <c r="CK113" s="15"/>
      <c r="CL113" s="15"/>
      <c r="CM113" s="15"/>
      <c r="CN113" s="15"/>
      <c r="CO113" s="15"/>
      <c r="CP113" s="15"/>
      <c r="CQ113" s="15"/>
      <c r="CR113" s="15"/>
      <c r="CS113" s="15"/>
      <c r="CT113" s="15"/>
      <c r="CU113" s="15"/>
      <c r="CV113" s="15"/>
      <c r="CW113" s="15"/>
      <c r="CX113" s="15"/>
      <c r="CY113" s="15"/>
      <c r="CZ113" s="15"/>
      <c r="DA113" s="15"/>
      <c r="DB113" s="15"/>
      <c r="DC113" s="15"/>
      <c r="DD113" s="15"/>
      <c r="DE113" s="15"/>
      <c r="DF113" s="15"/>
      <c r="DG113" s="15"/>
      <c r="DH113" s="15"/>
      <c r="DI113" s="15"/>
      <c r="DJ113" s="15"/>
      <c r="DK113" s="15"/>
      <c r="DL113" s="15"/>
      <c r="DM113" s="15"/>
      <c r="DN113" s="15"/>
      <c r="DO113" s="15"/>
      <c r="DP113" s="15"/>
      <c r="DQ113" s="15"/>
      <c r="DR113" s="15"/>
      <c r="DS113" s="15"/>
      <c r="DT113" s="15"/>
      <c r="DU113" s="15"/>
      <c r="DV113" s="15"/>
      <c r="DW113" s="15"/>
      <c r="DX113" s="15"/>
      <c r="DY113" s="15"/>
      <c r="DZ113" s="15"/>
      <c r="EA113" s="15"/>
      <c r="EB113" s="15"/>
      <c r="EC113" s="15"/>
      <c r="ED113" s="15"/>
      <c r="EE113" s="15"/>
      <c r="EF113" s="15"/>
      <c r="EG113" s="15"/>
      <c r="EH113" s="15"/>
      <c r="EI113" s="15"/>
      <c r="EJ113" s="15"/>
      <c r="EK113" s="15"/>
      <c r="EL113" s="15"/>
      <c r="EM113" s="15"/>
      <c r="EN113" s="15"/>
      <c r="EO113" s="15"/>
      <c r="EP113" s="15"/>
      <c r="EQ113" s="15"/>
      <c r="ER113" s="15"/>
      <c r="ES113" s="15"/>
      <c r="ET113" s="15"/>
      <c r="EU113" s="15"/>
      <c r="EV113" s="15"/>
      <c r="EW113" s="15"/>
      <c r="EX113" s="15"/>
      <c r="EY113" s="15"/>
      <c r="EZ113" s="15"/>
      <c r="FA113" s="15"/>
      <c r="FB113" s="15"/>
      <c r="FC113" s="15"/>
      <c r="FD113" s="15"/>
      <c r="FE113" s="15"/>
      <c r="FF113" s="15"/>
      <c r="FG113" s="15"/>
      <c r="FH113" s="15"/>
      <c r="FI113" s="15"/>
      <c r="FJ113" s="15"/>
      <c r="FK113" s="15"/>
      <c r="FL113" s="15"/>
      <c r="FM113" s="15"/>
      <c r="FN113" s="15"/>
      <c r="FO113" s="15"/>
      <c r="FP113" s="15"/>
      <c r="FQ113" s="15"/>
      <c r="FR113" s="15"/>
      <c r="FS113" s="15"/>
      <c r="FT113" s="15"/>
      <c r="FU113" s="15"/>
      <c r="FV113" s="15"/>
      <c r="FW113" s="15"/>
      <c r="FX113" s="15"/>
      <c r="FY113" s="15"/>
      <c r="FZ113" s="15"/>
      <c r="GA113" s="15"/>
      <c r="GB113" s="15"/>
      <c r="GC113" s="15"/>
      <c r="GD113" s="15"/>
      <c r="GE113" s="15"/>
      <c r="GF113" s="15"/>
      <c r="GG113" s="15"/>
      <c r="GH113" s="15"/>
      <c r="GI113" s="15"/>
      <c r="GJ113" s="15"/>
      <c r="GK113" s="15"/>
      <c r="GL113" s="15"/>
      <c r="GM113" s="15"/>
      <c r="GN113" s="15"/>
      <c r="GO113" s="15"/>
      <c r="GP113" s="15"/>
      <c r="GQ113" s="15"/>
      <c r="GR113" s="15"/>
      <c r="GS113" s="15"/>
      <c r="GT113" s="15"/>
      <c r="GU113" s="15"/>
      <c r="GV113" s="15"/>
      <c r="GW113" s="15"/>
      <c r="GX113" s="15"/>
      <c r="GY113" s="15"/>
      <c r="GZ113" s="15"/>
      <c r="HA113" s="15"/>
      <c r="HB113" s="15"/>
      <c r="HC113" s="15"/>
      <c r="HD113" s="15"/>
      <c r="HE113" s="15"/>
      <c r="HF113" s="15"/>
      <c r="HG113" s="15"/>
      <c r="HH113" s="15"/>
      <c r="HI113" s="15"/>
      <c r="HJ113" s="15"/>
      <c r="HK113" s="15"/>
      <c r="HL113" s="15"/>
      <c r="HM113" s="15"/>
      <c r="HN113" s="15"/>
      <c r="HO113" s="15"/>
      <c r="HP113" s="15"/>
      <c r="HQ113" s="15"/>
      <c r="HR113" s="15"/>
      <c r="HS113" s="15"/>
      <c r="HT113" s="15"/>
      <c r="HU113" s="15"/>
      <c r="HV113" s="15"/>
      <c r="HW113" s="15"/>
      <c r="HX113" s="15"/>
      <c r="HY113" s="15"/>
      <c r="HZ113" s="15"/>
      <c r="IA113" s="15"/>
      <c r="IB113" s="15"/>
      <c r="IC113" s="15"/>
      <c r="ID113" s="15"/>
      <c r="IE113" s="15"/>
      <c r="IF113" s="15"/>
      <c r="IG113" s="15"/>
      <c r="IH113" s="15"/>
      <c r="II113" s="15"/>
      <c r="IJ113" s="15"/>
      <c r="IK113" s="15"/>
      <c r="IL113" s="15"/>
      <c r="IM113" s="15"/>
      <c r="IN113" s="15"/>
      <c r="IO113" s="15"/>
      <c r="IP113" s="15"/>
      <c r="IQ113" s="15"/>
      <c r="IR113" s="15"/>
      <c r="IS113" s="15"/>
      <c r="IT113" s="15"/>
      <c r="IU113" s="15"/>
      <c r="IV113" s="15"/>
      <c r="IW113" s="15"/>
      <c r="IX113" s="15"/>
      <c r="IY113" s="15"/>
    </row>
    <row r="114" spans="1:267" x14ac:dyDescent="0.3">
      <c r="A114" s="476"/>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c r="BM114" s="15"/>
      <c r="BN114" s="15"/>
      <c r="BO114" s="15"/>
      <c r="BP114" s="15"/>
      <c r="BQ114" s="15"/>
      <c r="BR114" s="15"/>
      <c r="BS114" s="15"/>
      <c r="BT114" s="15"/>
      <c r="BU114" s="15"/>
      <c r="BV114" s="15"/>
      <c r="BW114" s="15"/>
      <c r="BX114" s="15"/>
      <c r="BY114" s="15"/>
      <c r="BZ114" s="15"/>
      <c r="CA114" s="15"/>
      <c r="CB114" s="15"/>
      <c r="CC114" s="15"/>
      <c r="CD114" s="15"/>
      <c r="CE114" s="15"/>
      <c r="CF114" s="15"/>
      <c r="CG114" s="15"/>
      <c r="CH114" s="15"/>
      <c r="CI114" s="15"/>
      <c r="CJ114" s="15"/>
      <c r="CK114" s="15"/>
      <c r="CL114" s="15"/>
      <c r="CM114" s="15"/>
      <c r="CN114" s="15"/>
      <c r="CO114" s="15"/>
      <c r="CP114" s="15"/>
      <c r="CQ114" s="15"/>
      <c r="CR114" s="15"/>
      <c r="CS114" s="15"/>
      <c r="CT114" s="15"/>
      <c r="CU114" s="15"/>
      <c r="CV114" s="15"/>
      <c r="CW114" s="15"/>
      <c r="CX114" s="15"/>
      <c r="CY114" s="15"/>
      <c r="CZ114" s="15"/>
      <c r="DA114" s="15"/>
      <c r="DB114" s="15"/>
      <c r="DC114" s="15"/>
      <c r="DD114" s="15"/>
      <c r="DE114" s="15"/>
      <c r="DF114" s="15"/>
      <c r="DG114" s="15"/>
      <c r="DH114" s="15"/>
      <c r="DI114" s="15"/>
      <c r="DJ114" s="15"/>
      <c r="DK114" s="15"/>
      <c r="DL114" s="15"/>
      <c r="DM114" s="15"/>
      <c r="DN114" s="15"/>
      <c r="DO114" s="15"/>
      <c r="DP114" s="15"/>
      <c r="DQ114" s="15"/>
      <c r="DR114" s="15"/>
      <c r="DS114" s="15"/>
      <c r="DT114" s="15"/>
      <c r="DU114" s="15"/>
      <c r="DV114" s="15"/>
      <c r="DW114" s="15"/>
      <c r="DX114" s="15"/>
      <c r="DY114" s="15"/>
      <c r="DZ114" s="15"/>
      <c r="EA114" s="15"/>
      <c r="EB114" s="15"/>
      <c r="EC114" s="15"/>
      <c r="ED114" s="15"/>
      <c r="EE114" s="15"/>
      <c r="EF114" s="15"/>
      <c r="EG114" s="15"/>
      <c r="EH114" s="15"/>
      <c r="EI114" s="15"/>
      <c r="EJ114" s="15"/>
      <c r="EK114" s="15"/>
      <c r="EL114" s="15"/>
      <c r="EM114" s="15"/>
      <c r="EN114" s="15"/>
      <c r="EO114" s="15"/>
      <c r="EP114" s="15"/>
      <c r="EQ114" s="15"/>
      <c r="ER114" s="15"/>
      <c r="ES114" s="15"/>
      <c r="ET114" s="15"/>
      <c r="EU114" s="15"/>
      <c r="EV114" s="15"/>
      <c r="EW114" s="15"/>
      <c r="EX114" s="15"/>
      <c r="EY114" s="15"/>
      <c r="EZ114" s="15"/>
      <c r="FA114" s="15"/>
      <c r="FB114" s="15"/>
      <c r="FC114" s="15"/>
      <c r="FD114" s="15"/>
      <c r="FE114" s="15"/>
      <c r="FF114" s="15"/>
      <c r="FG114" s="15"/>
      <c r="FH114" s="15"/>
      <c r="FI114" s="15"/>
      <c r="FJ114" s="15"/>
      <c r="FK114" s="15"/>
      <c r="FL114" s="15"/>
      <c r="FM114" s="15"/>
      <c r="FN114" s="15"/>
      <c r="FO114" s="15"/>
      <c r="FP114" s="15"/>
      <c r="FQ114" s="15"/>
      <c r="FR114" s="15"/>
      <c r="FS114" s="15"/>
      <c r="FT114" s="15"/>
      <c r="FU114" s="15"/>
      <c r="FV114" s="15"/>
      <c r="FW114" s="15"/>
      <c r="FX114" s="15"/>
      <c r="FY114" s="15"/>
      <c r="FZ114" s="15"/>
      <c r="GA114" s="15"/>
      <c r="GB114" s="15"/>
      <c r="GC114" s="15"/>
      <c r="GD114" s="15"/>
      <c r="GE114" s="15"/>
      <c r="GF114" s="15"/>
      <c r="GG114" s="15"/>
      <c r="GH114" s="15"/>
      <c r="GI114" s="15"/>
      <c r="GJ114" s="15"/>
      <c r="GK114" s="15"/>
      <c r="GL114" s="15"/>
      <c r="GM114" s="15"/>
      <c r="GN114" s="15"/>
      <c r="GO114" s="15"/>
      <c r="GP114" s="15"/>
      <c r="GQ114" s="15"/>
      <c r="GR114" s="15"/>
      <c r="GS114" s="15"/>
      <c r="GT114" s="15"/>
      <c r="GU114" s="15"/>
      <c r="GV114" s="15"/>
      <c r="GW114" s="15"/>
      <c r="GX114" s="15"/>
      <c r="GY114" s="15"/>
      <c r="GZ114" s="15"/>
      <c r="HA114" s="15"/>
      <c r="HB114" s="15"/>
      <c r="HC114" s="15"/>
      <c r="HD114" s="15"/>
      <c r="HE114" s="15"/>
      <c r="HF114" s="15"/>
      <c r="HG114" s="15"/>
      <c r="HH114" s="15"/>
      <c r="HI114" s="15"/>
      <c r="HJ114" s="15"/>
      <c r="HK114" s="15"/>
      <c r="HL114" s="15"/>
      <c r="HM114" s="15"/>
      <c r="HN114" s="15"/>
      <c r="HO114" s="15"/>
      <c r="HP114" s="15"/>
      <c r="HQ114" s="15"/>
      <c r="HR114" s="15"/>
      <c r="HS114" s="15"/>
      <c r="HT114" s="15"/>
      <c r="HU114" s="15"/>
      <c r="HV114" s="15"/>
      <c r="HW114" s="15"/>
      <c r="HX114" s="15"/>
      <c r="HY114" s="15"/>
      <c r="HZ114" s="15"/>
      <c r="IA114" s="15"/>
      <c r="IB114" s="15"/>
      <c r="IC114" s="15"/>
      <c r="ID114" s="15"/>
      <c r="IE114" s="15"/>
      <c r="IF114" s="15"/>
      <c r="IG114" s="15"/>
      <c r="IH114" s="15"/>
      <c r="II114" s="15"/>
      <c r="IJ114" s="15"/>
      <c r="IK114" s="15"/>
      <c r="IL114" s="15"/>
      <c r="IM114" s="15"/>
      <c r="IN114" s="15"/>
      <c r="IO114" s="15"/>
      <c r="IP114" s="15"/>
      <c r="IQ114" s="15"/>
      <c r="IR114" s="15"/>
      <c r="IS114" s="15"/>
      <c r="IT114" s="15"/>
      <c r="IU114" s="15"/>
      <c r="IV114" s="15"/>
      <c r="IW114" s="15"/>
      <c r="IX114" s="15"/>
      <c r="IY114" s="15"/>
    </row>
    <row r="115" spans="1:267" x14ac:dyDescent="0.3">
      <c r="A115" s="476"/>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c r="BM115" s="15"/>
      <c r="BN115" s="15"/>
      <c r="BO115" s="15"/>
      <c r="BP115" s="15"/>
      <c r="BQ115" s="15"/>
      <c r="BR115" s="15"/>
      <c r="BS115" s="15"/>
      <c r="BT115" s="15"/>
      <c r="BU115" s="15"/>
      <c r="BV115" s="15"/>
      <c r="BW115" s="15"/>
      <c r="BX115" s="15"/>
      <c r="BY115" s="15"/>
      <c r="BZ115" s="15"/>
      <c r="CA115" s="15"/>
      <c r="CB115" s="15"/>
      <c r="CC115" s="15"/>
      <c r="CD115" s="15"/>
      <c r="CE115" s="15"/>
      <c r="CF115" s="15"/>
      <c r="CG115" s="15"/>
      <c r="CH115" s="15"/>
      <c r="CI115" s="15"/>
      <c r="CJ115" s="15"/>
      <c r="CK115" s="15"/>
      <c r="CL115" s="15"/>
      <c r="CM115" s="15"/>
      <c r="CN115" s="15"/>
      <c r="CO115" s="15"/>
      <c r="CP115" s="15"/>
      <c r="CQ115" s="15"/>
      <c r="CR115" s="15"/>
      <c r="CS115" s="15"/>
      <c r="CT115" s="15"/>
      <c r="CU115" s="15"/>
      <c r="CV115" s="15"/>
      <c r="CW115" s="15"/>
      <c r="CX115" s="15"/>
      <c r="CY115" s="15"/>
      <c r="CZ115" s="15"/>
      <c r="DA115" s="15"/>
      <c r="DB115" s="15"/>
      <c r="DC115" s="15"/>
      <c r="DD115" s="15"/>
      <c r="DE115" s="15"/>
      <c r="DF115" s="15"/>
      <c r="DG115" s="15"/>
      <c r="DH115" s="15"/>
      <c r="DI115" s="15"/>
      <c r="DJ115" s="15"/>
      <c r="DK115" s="15"/>
      <c r="DL115" s="15"/>
      <c r="DM115" s="15"/>
      <c r="DN115" s="15"/>
      <c r="DO115" s="15"/>
      <c r="DP115" s="15"/>
      <c r="DQ115" s="15"/>
      <c r="DR115" s="15"/>
      <c r="DS115" s="15"/>
      <c r="DT115" s="15"/>
      <c r="DU115" s="15"/>
      <c r="DV115" s="15"/>
      <c r="DW115" s="15"/>
      <c r="DX115" s="15"/>
      <c r="DY115" s="15"/>
      <c r="DZ115" s="15"/>
      <c r="EA115" s="15"/>
      <c r="EB115" s="15"/>
      <c r="EC115" s="15"/>
      <c r="ED115" s="15"/>
      <c r="EE115" s="15"/>
      <c r="EF115" s="15"/>
      <c r="EG115" s="15"/>
      <c r="EH115" s="15"/>
      <c r="EI115" s="15"/>
      <c r="EJ115" s="15"/>
      <c r="EK115" s="15"/>
      <c r="EL115" s="15"/>
      <c r="EM115" s="15"/>
      <c r="EN115" s="15"/>
      <c r="EO115" s="15"/>
      <c r="EP115" s="15"/>
      <c r="EQ115" s="15"/>
      <c r="ER115" s="15"/>
      <c r="ES115" s="15"/>
      <c r="ET115" s="15"/>
      <c r="EU115" s="15"/>
      <c r="EV115" s="15"/>
      <c r="EW115" s="15"/>
      <c r="EX115" s="15"/>
      <c r="EY115" s="15"/>
      <c r="EZ115" s="15"/>
      <c r="FA115" s="15"/>
      <c r="FB115" s="15"/>
      <c r="FC115" s="15"/>
      <c r="FD115" s="15"/>
      <c r="FE115" s="15"/>
      <c r="FF115" s="15"/>
      <c r="FG115" s="15"/>
      <c r="FH115" s="15"/>
      <c r="FI115" s="15"/>
      <c r="FJ115" s="15"/>
      <c r="FK115" s="15"/>
      <c r="FL115" s="15"/>
      <c r="FM115" s="15"/>
      <c r="FN115" s="15"/>
      <c r="FO115" s="15"/>
      <c r="FP115" s="15"/>
      <c r="FQ115" s="15"/>
      <c r="FR115" s="15"/>
      <c r="FS115" s="15"/>
      <c r="FT115" s="15"/>
      <c r="FU115" s="15"/>
      <c r="FV115" s="15"/>
      <c r="FW115" s="15"/>
      <c r="FX115" s="15"/>
      <c r="FY115" s="15"/>
      <c r="FZ115" s="15"/>
      <c r="GA115" s="15"/>
      <c r="GB115" s="15"/>
      <c r="GC115" s="15"/>
      <c r="GD115" s="15"/>
      <c r="GE115" s="15"/>
      <c r="GF115" s="15"/>
      <c r="GG115" s="15"/>
      <c r="GH115" s="15"/>
      <c r="GI115" s="15"/>
      <c r="GJ115" s="15"/>
      <c r="GK115" s="15"/>
      <c r="GL115" s="15"/>
      <c r="GM115" s="15"/>
      <c r="GN115" s="15"/>
      <c r="GO115" s="15"/>
      <c r="GP115" s="15"/>
      <c r="GQ115" s="15"/>
      <c r="GR115" s="15"/>
      <c r="GS115" s="15"/>
      <c r="GT115" s="15"/>
      <c r="GU115" s="15"/>
      <c r="GV115" s="15"/>
      <c r="GW115" s="15"/>
      <c r="GX115" s="15"/>
      <c r="GY115" s="15"/>
      <c r="GZ115" s="15"/>
      <c r="HA115" s="15"/>
      <c r="HB115" s="15"/>
      <c r="HC115" s="15"/>
      <c r="HD115" s="15"/>
      <c r="HE115" s="15"/>
      <c r="HF115" s="15"/>
      <c r="HG115" s="15"/>
      <c r="HH115" s="15"/>
      <c r="HI115" s="15"/>
      <c r="HJ115" s="15"/>
      <c r="HK115" s="15"/>
      <c r="HL115" s="15"/>
      <c r="HM115" s="15"/>
      <c r="HN115" s="15"/>
      <c r="HO115" s="15"/>
      <c r="HP115" s="15"/>
      <c r="HQ115" s="15"/>
      <c r="HR115" s="15"/>
      <c r="HS115" s="15"/>
      <c r="HT115" s="15"/>
      <c r="HU115" s="15"/>
      <c r="HV115" s="15"/>
      <c r="HW115" s="15"/>
      <c r="HX115" s="15"/>
      <c r="HY115" s="15"/>
      <c r="HZ115" s="15"/>
      <c r="IA115" s="15"/>
      <c r="IB115" s="15"/>
      <c r="IC115" s="15"/>
      <c r="ID115" s="15"/>
      <c r="IE115" s="15"/>
      <c r="IF115" s="15"/>
      <c r="IG115" s="15"/>
      <c r="IH115" s="15"/>
      <c r="II115" s="15"/>
      <c r="IJ115" s="15"/>
      <c r="IK115" s="15"/>
      <c r="IL115" s="15"/>
      <c r="IM115" s="15"/>
      <c r="IN115" s="15"/>
      <c r="IO115" s="15"/>
      <c r="IP115" s="15"/>
      <c r="IQ115" s="15"/>
      <c r="IR115" s="15"/>
      <c r="IS115" s="15"/>
      <c r="IT115" s="15"/>
      <c r="IU115" s="15"/>
      <c r="IV115" s="15"/>
      <c r="IW115" s="15"/>
      <c r="IX115" s="15"/>
      <c r="IY115" s="15"/>
    </row>
    <row r="116" spans="1:267" x14ac:dyDescent="0.3">
      <c r="A116" s="476"/>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c r="BQ116" s="15"/>
      <c r="BR116" s="15"/>
      <c r="BS116" s="15"/>
      <c r="BT116" s="15"/>
      <c r="BU116" s="15"/>
      <c r="BV116" s="15"/>
      <c r="BW116" s="15"/>
      <c r="BX116" s="15"/>
      <c r="BY116" s="15"/>
      <c r="BZ116" s="15"/>
      <c r="CA116" s="15"/>
      <c r="CB116" s="15"/>
      <c r="CC116" s="15"/>
      <c r="CD116" s="15"/>
      <c r="CE116" s="15"/>
      <c r="CF116" s="15"/>
      <c r="CG116" s="15"/>
      <c r="CH116" s="15"/>
      <c r="CI116" s="15"/>
      <c r="CJ116" s="15"/>
      <c r="CK116" s="15"/>
      <c r="CL116" s="15"/>
      <c r="CM116" s="15"/>
      <c r="CN116" s="15"/>
      <c r="CO116" s="15"/>
      <c r="CP116" s="15"/>
      <c r="CQ116" s="15"/>
      <c r="CR116" s="15"/>
      <c r="CS116" s="15"/>
      <c r="CT116" s="15"/>
      <c r="CU116" s="15"/>
      <c r="CV116" s="15"/>
      <c r="CW116" s="15"/>
      <c r="CX116" s="15"/>
      <c r="CY116" s="15"/>
      <c r="CZ116" s="15"/>
      <c r="DA116" s="15"/>
      <c r="DB116" s="15"/>
      <c r="DC116" s="15"/>
      <c r="DD116" s="15"/>
      <c r="DE116" s="15"/>
      <c r="DF116" s="15"/>
      <c r="DG116" s="15"/>
      <c r="DH116" s="15"/>
      <c r="DI116" s="15"/>
      <c r="DJ116" s="15"/>
      <c r="DK116" s="15"/>
      <c r="DL116" s="15"/>
      <c r="DM116" s="15"/>
      <c r="DN116" s="15"/>
      <c r="DO116" s="15"/>
      <c r="DP116" s="15"/>
      <c r="DQ116" s="15"/>
      <c r="DR116" s="15"/>
      <c r="DS116" s="15"/>
      <c r="DT116" s="15"/>
      <c r="DU116" s="15"/>
      <c r="DV116" s="15"/>
      <c r="DW116" s="15"/>
      <c r="DX116" s="15"/>
      <c r="DY116" s="15"/>
      <c r="DZ116" s="15"/>
      <c r="EA116" s="15"/>
      <c r="EB116" s="15"/>
      <c r="EC116" s="15"/>
      <c r="ED116" s="15"/>
      <c r="EE116" s="15"/>
      <c r="EF116" s="15"/>
      <c r="EG116" s="15"/>
      <c r="EH116" s="15"/>
      <c r="EI116" s="15"/>
      <c r="EJ116" s="15"/>
      <c r="EK116" s="15"/>
      <c r="EL116" s="15"/>
      <c r="EM116" s="15"/>
      <c r="EN116" s="15"/>
      <c r="EO116" s="15"/>
      <c r="EP116" s="15"/>
      <c r="EQ116" s="15"/>
      <c r="ER116" s="15"/>
      <c r="ES116" s="15"/>
      <c r="ET116" s="15"/>
      <c r="EU116" s="15"/>
      <c r="EV116" s="15"/>
      <c r="EW116" s="15"/>
      <c r="EX116" s="15"/>
      <c r="EY116" s="15"/>
      <c r="EZ116" s="15"/>
      <c r="FA116" s="15"/>
      <c r="FB116" s="15"/>
      <c r="FC116" s="15"/>
      <c r="FD116" s="15"/>
      <c r="FE116" s="15"/>
      <c r="FF116" s="15"/>
      <c r="FG116" s="15"/>
      <c r="FH116" s="15"/>
      <c r="FI116" s="15"/>
      <c r="FJ116" s="15"/>
      <c r="FK116" s="15"/>
      <c r="FL116" s="15"/>
      <c r="FM116" s="15"/>
      <c r="FN116" s="15"/>
      <c r="FO116" s="15"/>
      <c r="FP116" s="15"/>
      <c r="FQ116" s="15"/>
      <c r="FR116" s="15"/>
      <c r="FS116" s="15"/>
      <c r="FT116" s="15"/>
      <c r="FU116" s="15"/>
      <c r="FV116" s="15"/>
      <c r="FW116" s="15"/>
      <c r="FX116" s="15"/>
      <c r="FY116" s="15"/>
      <c r="FZ116" s="15"/>
      <c r="GA116" s="15"/>
      <c r="GB116" s="15"/>
      <c r="GC116" s="15"/>
      <c r="GD116" s="15"/>
      <c r="GE116" s="15"/>
      <c r="GF116" s="15"/>
      <c r="GG116" s="15"/>
      <c r="GH116" s="15"/>
      <c r="GI116" s="15"/>
      <c r="GJ116" s="15"/>
      <c r="GK116" s="15"/>
      <c r="GL116" s="15"/>
      <c r="GM116" s="15"/>
      <c r="GN116" s="15"/>
      <c r="GO116" s="15"/>
      <c r="GP116" s="15"/>
      <c r="GQ116" s="15"/>
      <c r="GR116" s="15"/>
      <c r="GS116" s="15"/>
      <c r="GT116" s="15"/>
      <c r="GU116" s="15"/>
      <c r="GV116" s="15"/>
      <c r="GW116" s="15"/>
      <c r="GX116" s="15"/>
      <c r="GY116" s="15"/>
      <c r="GZ116" s="15"/>
      <c r="HA116" s="15"/>
      <c r="HB116" s="15"/>
      <c r="HC116" s="15"/>
      <c r="HD116" s="15"/>
      <c r="HE116" s="15"/>
      <c r="HF116" s="15"/>
      <c r="HG116" s="15"/>
      <c r="HH116" s="15"/>
      <c r="HI116" s="15"/>
      <c r="HJ116" s="15"/>
      <c r="HK116" s="15"/>
      <c r="HL116" s="15"/>
      <c r="HM116" s="15"/>
      <c r="HN116" s="15"/>
      <c r="HO116" s="15"/>
      <c r="HP116" s="15"/>
      <c r="HQ116" s="15"/>
      <c r="HR116" s="15"/>
      <c r="HS116" s="15"/>
      <c r="HT116" s="15"/>
      <c r="HU116" s="15"/>
      <c r="HV116" s="15"/>
      <c r="HW116" s="15"/>
      <c r="HX116" s="15"/>
      <c r="HY116" s="15"/>
      <c r="HZ116" s="15"/>
      <c r="IA116" s="15"/>
      <c r="IB116" s="15"/>
      <c r="IC116" s="15"/>
      <c r="ID116" s="15"/>
      <c r="IE116" s="15"/>
      <c r="IF116" s="15"/>
      <c r="IG116" s="15"/>
      <c r="IH116" s="15"/>
      <c r="II116" s="15"/>
      <c r="IJ116" s="15"/>
      <c r="IK116" s="15"/>
      <c r="IL116" s="15"/>
      <c r="IM116" s="15"/>
      <c r="IN116" s="15"/>
      <c r="IO116" s="15"/>
      <c r="IP116" s="15"/>
      <c r="IQ116" s="15"/>
      <c r="IR116" s="15"/>
      <c r="IS116" s="15"/>
      <c r="IT116" s="15"/>
      <c r="IU116" s="15"/>
      <c r="IV116" s="15"/>
      <c r="IW116" s="15"/>
      <c r="IX116" s="15"/>
      <c r="IY116" s="15"/>
    </row>
    <row r="117" spans="1:267" x14ac:dyDescent="0.3">
      <c r="A117" s="476"/>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c r="BM117" s="15"/>
      <c r="BN117" s="15"/>
      <c r="BO117" s="15"/>
      <c r="BP117" s="15"/>
      <c r="BQ117" s="15"/>
      <c r="BR117" s="15"/>
      <c r="BS117" s="15"/>
      <c r="BT117" s="15"/>
      <c r="BU117" s="15"/>
      <c r="BV117" s="15"/>
      <c r="BW117" s="15"/>
      <c r="BX117" s="15"/>
      <c r="BY117" s="15"/>
      <c r="BZ117" s="15"/>
      <c r="CA117" s="15"/>
      <c r="CB117" s="15"/>
      <c r="CC117" s="15"/>
      <c r="CD117" s="15"/>
      <c r="CE117" s="15"/>
      <c r="CF117" s="15"/>
      <c r="CG117" s="15"/>
      <c r="CH117" s="15"/>
      <c r="CI117" s="15"/>
      <c r="CJ117" s="15"/>
      <c r="CK117" s="15"/>
      <c r="CL117" s="15"/>
      <c r="CM117" s="15"/>
      <c r="CN117" s="15"/>
      <c r="CO117" s="15"/>
      <c r="CP117" s="15"/>
      <c r="CQ117" s="15"/>
      <c r="CR117" s="15"/>
      <c r="CS117" s="15"/>
      <c r="CT117" s="15"/>
      <c r="CU117" s="15"/>
      <c r="CV117" s="15"/>
      <c r="CW117" s="15"/>
      <c r="CX117" s="15"/>
      <c r="CY117" s="15"/>
      <c r="CZ117" s="15"/>
      <c r="DA117" s="15"/>
      <c r="DB117" s="15"/>
      <c r="DC117" s="15"/>
      <c r="DD117" s="15"/>
      <c r="DE117" s="15"/>
      <c r="DF117" s="15"/>
      <c r="DG117" s="15"/>
      <c r="DH117" s="15"/>
      <c r="DI117" s="15"/>
      <c r="DJ117" s="15"/>
      <c r="DK117" s="15"/>
      <c r="DL117" s="15"/>
      <c r="DM117" s="15"/>
      <c r="DN117" s="15"/>
      <c r="DO117" s="15"/>
      <c r="DP117" s="15"/>
      <c r="DQ117" s="15"/>
      <c r="DR117" s="15"/>
      <c r="DS117" s="15"/>
      <c r="DT117" s="15"/>
      <c r="DU117" s="15"/>
      <c r="DV117" s="15"/>
      <c r="DW117" s="15"/>
      <c r="DX117" s="15"/>
      <c r="DY117" s="15"/>
      <c r="DZ117" s="15"/>
      <c r="EA117" s="15"/>
      <c r="EB117" s="15"/>
      <c r="EC117" s="15"/>
      <c r="ED117" s="15"/>
      <c r="EE117" s="15"/>
      <c r="EF117" s="15"/>
      <c r="EG117" s="15"/>
      <c r="EH117" s="15"/>
      <c r="EI117" s="15"/>
      <c r="EJ117" s="15"/>
      <c r="EK117" s="15"/>
      <c r="EL117" s="15"/>
      <c r="EM117" s="15"/>
      <c r="EN117" s="15"/>
      <c r="EO117" s="15"/>
      <c r="EP117" s="15"/>
      <c r="EQ117" s="15"/>
      <c r="ER117" s="15"/>
      <c r="ES117" s="15"/>
      <c r="ET117" s="15"/>
      <c r="EU117" s="15"/>
      <c r="EV117" s="15"/>
      <c r="EW117" s="15"/>
      <c r="EX117" s="15"/>
      <c r="EY117" s="15"/>
      <c r="EZ117" s="15"/>
      <c r="FA117" s="15"/>
      <c r="FB117" s="15"/>
      <c r="FC117" s="15"/>
      <c r="FD117" s="15"/>
      <c r="FE117" s="15"/>
      <c r="FF117" s="15"/>
      <c r="FG117" s="15"/>
      <c r="FH117" s="15"/>
      <c r="FI117" s="15"/>
      <c r="FJ117" s="15"/>
      <c r="FK117" s="15"/>
      <c r="FL117" s="15"/>
      <c r="FM117" s="15"/>
      <c r="FN117" s="15"/>
      <c r="FO117" s="15"/>
      <c r="FP117" s="15"/>
      <c r="FQ117" s="15"/>
      <c r="FR117" s="15"/>
      <c r="FS117" s="15"/>
      <c r="FT117" s="15"/>
      <c r="FU117" s="15"/>
      <c r="FV117" s="15"/>
      <c r="FW117" s="15"/>
      <c r="FX117" s="15"/>
      <c r="FY117" s="15"/>
      <c r="FZ117" s="15"/>
      <c r="GA117" s="15"/>
      <c r="GB117" s="15"/>
      <c r="GC117" s="15"/>
      <c r="GD117" s="15"/>
      <c r="GE117" s="15"/>
      <c r="GF117" s="15"/>
      <c r="GG117" s="15"/>
      <c r="GH117" s="15"/>
      <c r="GI117" s="15"/>
      <c r="GJ117" s="15"/>
      <c r="GK117" s="15"/>
      <c r="GL117" s="15"/>
      <c r="GM117" s="15"/>
      <c r="GN117" s="15"/>
      <c r="GO117" s="15"/>
      <c r="GP117" s="15"/>
      <c r="GQ117" s="15"/>
      <c r="GR117" s="15"/>
      <c r="GS117" s="15"/>
      <c r="GT117" s="15"/>
      <c r="GU117" s="15"/>
      <c r="GV117" s="15"/>
      <c r="GW117" s="15"/>
      <c r="GX117" s="15"/>
      <c r="GY117" s="15"/>
      <c r="GZ117" s="15"/>
      <c r="HA117" s="15"/>
      <c r="HB117" s="15"/>
      <c r="HC117" s="15"/>
      <c r="HD117" s="15"/>
      <c r="HE117" s="15"/>
      <c r="HF117" s="15"/>
      <c r="HG117" s="15"/>
      <c r="HH117" s="15"/>
      <c r="HI117" s="15"/>
      <c r="HJ117" s="15"/>
      <c r="HK117" s="15"/>
      <c r="HL117" s="15"/>
      <c r="HM117" s="15"/>
      <c r="HN117" s="15"/>
      <c r="HO117" s="15"/>
      <c r="HP117" s="15"/>
      <c r="HQ117" s="15"/>
      <c r="HR117" s="15"/>
      <c r="HS117" s="15"/>
      <c r="HT117" s="15"/>
      <c r="HU117" s="15"/>
      <c r="HV117" s="15"/>
      <c r="HW117" s="15"/>
      <c r="HX117" s="15"/>
      <c r="HY117" s="15"/>
      <c r="HZ117" s="15"/>
      <c r="IA117" s="15"/>
      <c r="IB117" s="15"/>
      <c r="IC117" s="15"/>
      <c r="ID117" s="15"/>
      <c r="IE117" s="15"/>
      <c r="IF117" s="15"/>
      <c r="IG117" s="15"/>
      <c r="IH117" s="15"/>
      <c r="II117" s="15"/>
      <c r="IJ117" s="15"/>
      <c r="IK117" s="15"/>
      <c r="IL117" s="15"/>
      <c r="IM117" s="15"/>
      <c r="IN117" s="15"/>
      <c r="IO117" s="15"/>
      <c r="IP117" s="15"/>
      <c r="IQ117" s="15"/>
      <c r="IR117" s="15"/>
      <c r="IS117" s="15"/>
      <c r="IT117" s="15"/>
      <c r="IU117" s="15"/>
      <c r="IV117" s="15"/>
      <c r="IW117" s="15"/>
      <c r="IX117" s="15"/>
      <c r="IY117" s="15"/>
    </row>
    <row r="118" spans="1:267" x14ac:dyDescent="0.3">
      <c r="A118" s="4"/>
      <c r="B118" s="477"/>
      <c r="C118" s="477"/>
      <c r="D118" s="477"/>
      <c r="E118" s="477"/>
      <c r="F118" s="477"/>
      <c r="G118" s="477"/>
      <c r="H118" s="477"/>
      <c r="I118" s="477"/>
      <c r="J118" s="477"/>
      <c r="K118" s="477"/>
      <c r="L118" s="477"/>
      <c r="M118" s="477"/>
      <c r="N118" s="477"/>
      <c r="O118" s="477"/>
      <c r="P118" s="477"/>
      <c r="Q118" s="477"/>
      <c r="R118" s="477"/>
      <c r="S118" s="477"/>
      <c r="T118" s="477"/>
      <c r="U118" s="477"/>
      <c r="V118" s="477"/>
      <c r="W118" s="477"/>
      <c r="X118" s="477"/>
      <c r="Y118" s="477"/>
      <c r="Z118" s="477"/>
      <c r="AA118" s="477"/>
      <c r="AB118" s="477"/>
      <c r="AC118" s="477"/>
      <c r="AD118" s="477"/>
      <c r="AE118" s="477"/>
      <c r="AF118" s="477"/>
      <c r="AG118" s="477"/>
      <c r="AH118" s="477"/>
      <c r="AI118" s="477"/>
      <c r="AJ118" s="477"/>
      <c r="AK118" s="477"/>
      <c r="AL118" s="477"/>
      <c r="AM118" s="477"/>
      <c r="AN118" s="477"/>
      <c r="AO118" s="477"/>
      <c r="AP118" s="477"/>
      <c r="AQ118" s="477"/>
      <c r="AR118" s="477"/>
      <c r="AS118" s="477"/>
      <c r="AT118" s="477"/>
      <c r="AU118" s="477"/>
      <c r="AV118" s="477"/>
      <c r="AW118" s="477"/>
      <c r="AX118" s="477"/>
      <c r="AY118" s="477"/>
      <c r="AZ118" s="477"/>
      <c r="BA118" s="477"/>
      <c r="BB118" s="477"/>
      <c r="BC118" s="477"/>
      <c r="BD118" s="477"/>
      <c r="BE118" s="477"/>
      <c r="BF118" s="477"/>
      <c r="BG118" s="477"/>
      <c r="BH118" s="477"/>
      <c r="BI118" s="477"/>
      <c r="BJ118" s="477"/>
      <c r="BK118" s="477"/>
      <c r="BL118" s="477"/>
      <c r="BM118" s="477"/>
      <c r="BN118" s="477"/>
      <c r="BO118" s="477"/>
      <c r="BP118" s="477"/>
      <c r="BQ118" s="477"/>
      <c r="BR118" s="477"/>
      <c r="BS118" s="477"/>
      <c r="BT118" s="477"/>
      <c r="BU118" s="477"/>
      <c r="BV118" s="477"/>
      <c r="BW118" s="477"/>
      <c r="BX118" s="477"/>
      <c r="BY118" s="477"/>
      <c r="BZ118" s="477"/>
      <c r="CA118" s="477"/>
      <c r="CB118" s="477"/>
      <c r="CC118" s="477"/>
      <c r="CD118" s="477"/>
      <c r="CE118" s="477"/>
      <c r="CF118" s="477"/>
      <c r="CG118" s="477"/>
      <c r="CH118" s="477"/>
      <c r="CI118" s="477"/>
      <c r="CJ118" s="477"/>
      <c r="CK118" s="477"/>
      <c r="CL118" s="477"/>
      <c r="CM118" s="477"/>
      <c r="CN118" s="477"/>
      <c r="CO118" s="477"/>
      <c r="CP118" s="477"/>
      <c r="CQ118" s="477"/>
      <c r="CR118" s="477"/>
      <c r="CS118" s="477"/>
      <c r="CT118" s="477"/>
      <c r="CU118" s="477"/>
      <c r="CV118" s="477"/>
      <c r="CW118" s="477"/>
      <c r="CX118" s="477"/>
      <c r="CY118" s="477"/>
      <c r="CZ118" s="477"/>
      <c r="DA118" s="477"/>
      <c r="DB118" s="477"/>
      <c r="DC118" s="477"/>
      <c r="DD118" s="477"/>
      <c r="DE118" s="477"/>
      <c r="DF118" s="477"/>
      <c r="DG118" s="477"/>
      <c r="DH118" s="477"/>
      <c r="DI118" s="477"/>
      <c r="DJ118" s="477"/>
      <c r="DK118" s="477"/>
      <c r="DL118" s="477"/>
      <c r="DM118" s="477"/>
      <c r="DN118" s="477"/>
      <c r="DO118" s="477"/>
      <c r="DP118" s="477"/>
      <c r="DQ118" s="477"/>
      <c r="DR118" s="477"/>
      <c r="DS118" s="477"/>
      <c r="DT118" s="477"/>
      <c r="DU118" s="477"/>
      <c r="DV118" s="477"/>
      <c r="DW118" s="477"/>
      <c r="DX118" s="477"/>
      <c r="DY118" s="477"/>
      <c r="DZ118" s="477"/>
      <c r="EA118" s="477"/>
      <c r="EB118" s="477"/>
      <c r="EC118" s="477"/>
      <c r="ED118" s="477"/>
      <c r="EE118" s="477"/>
      <c r="EF118" s="477"/>
      <c r="EG118" s="477"/>
      <c r="EH118" s="477"/>
      <c r="EI118" s="477"/>
      <c r="EJ118" s="477"/>
      <c r="EK118" s="477"/>
      <c r="EL118" s="477"/>
      <c r="EM118" s="477"/>
      <c r="EN118" s="477"/>
      <c r="EO118" s="477"/>
      <c r="EP118" s="477"/>
      <c r="EQ118" s="477"/>
      <c r="ER118" s="477"/>
      <c r="ES118" s="477"/>
      <c r="ET118" s="477"/>
      <c r="EU118" s="477"/>
      <c r="EV118" s="477"/>
      <c r="EW118" s="477"/>
      <c r="EX118" s="477"/>
      <c r="EY118" s="477"/>
      <c r="EZ118" s="477"/>
      <c r="FA118" s="477"/>
      <c r="FB118" s="477"/>
      <c r="FC118" s="477"/>
      <c r="FD118" s="477"/>
      <c r="FE118" s="477"/>
      <c r="FF118" s="477"/>
      <c r="FG118" s="477"/>
      <c r="FH118" s="477"/>
      <c r="FI118" s="477"/>
      <c r="FJ118" s="477"/>
      <c r="FK118" s="477"/>
      <c r="FL118" s="477"/>
      <c r="FM118" s="477"/>
      <c r="FN118" s="477"/>
      <c r="FO118" s="477"/>
      <c r="FP118" s="477"/>
      <c r="FQ118" s="477"/>
      <c r="FR118" s="477"/>
      <c r="FS118" s="477"/>
      <c r="FT118" s="477"/>
      <c r="FU118" s="477"/>
      <c r="FV118" s="477"/>
      <c r="FW118" s="477"/>
      <c r="FX118" s="477"/>
      <c r="FY118" s="477"/>
      <c r="FZ118" s="477"/>
      <c r="GA118" s="477"/>
      <c r="GB118" s="477"/>
      <c r="GC118" s="477"/>
      <c r="GD118" s="477"/>
      <c r="GE118" s="477"/>
      <c r="GF118" s="477"/>
      <c r="GG118" s="477"/>
      <c r="GH118" s="477"/>
      <c r="GI118" s="477"/>
      <c r="GJ118" s="477"/>
      <c r="GK118" s="477"/>
      <c r="GL118" s="477"/>
      <c r="GM118" s="477"/>
      <c r="GN118" s="477"/>
      <c r="GO118" s="477"/>
      <c r="GP118" s="477"/>
      <c r="GQ118" s="477"/>
      <c r="GR118" s="477"/>
      <c r="GS118" s="477"/>
      <c r="GT118" s="477"/>
      <c r="GU118" s="477"/>
      <c r="GV118" s="477"/>
      <c r="GW118" s="477"/>
      <c r="GX118" s="477"/>
      <c r="GY118" s="477"/>
      <c r="GZ118" s="477"/>
      <c r="HA118" s="477"/>
      <c r="HB118" s="477"/>
      <c r="HC118" s="477"/>
      <c r="HD118" s="477"/>
      <c r="HE118" s="477"/>
      <c r="HF118" s="477"/>
      <c r="HG118" s="477"/>
      <c r="HH118" s="477"/>
      <c r="HI118" s="477"/>
      <c r="HJ118" s="477"/>
      <c r="HK118" s="477"/>
      <c r="HL118" s="477"/>
      <c r="HM118" s="477"/>
      <c r="HN118" s="477"/>
      <c r="HO118" s="477"/>
      <c r="HP118" s="477"/>
      <c r="HQ118" s="477"/>
      <c r="HR118" s="477"/>
      <c r="HS118" s="477"/>
      <c r="HT118" s="477"/>
      <c r="HU118" s="477"/>
      <c r="HV118" s="477"/>
      <c r="HW118" s="477"/>
      <c r="HX118" s="477"/>
      <c r="HY118" s="477"/>
      <c r="HZ118" s="477"/>
      <c r="IA118" s="477"/>
      <c r="IB118" s="477"/>
      <c r="IC118" s="477"/>
      <c r="ID118" s="477"/>
      <c r="IE118" s="477"/>
      <c r="IF118" s="477"/>
      <c r="IG118" s="477"/>
      <c r="IH118" s="477"/>
      <c r="II118" s="477"/>
      <c r="IJ118" s="477"/>
      <c r="IK118" s="477"/>
      <c r="IL118" s="477"/>
      <c r="IM118" s="477"/>
      <c r="IN118" s="477"/>
      <c r="IO118" s="477"/>
      <c r="IP118" s="477"/>
      <c r="IQ118" s="477"/>
      <c r="IR118" s="477"/>
      <c r="IS118" s="477"/>
      <c r="IT118" s="477"/>
      <c r="IU118" s="477"/>
      <c r="IV118" s="477"/>
      <c r="IW118" s="477"/>
      <c r="IX118" s="477"/>
      <c r="IY118" s="477"/>
    </row>
    <row r="119" spans="1:267" x14ac:dyDescent="0.3">
      <c r="GK119" s="15"/>
      <c r="HC119" s="15"/>
      <c r="IN119"/>
    </row>
    <row r="120" spans="1:267" x14ac:dyDescent="0.3">
      <c r="IN120"/>
    </row>
    <row r="121" spans="1:267" x14ac:dyDescent="0.3">
      <c r="A121" s="4"/>
      <c r="D121" s="453"/>
      <c r="G121" s="453"/>
      <c r="J121" s="453"/>
      <c r="M121" s="453"/>
      <c r="P121" s="453"/>
      <c r="S121" s="453"/>
      <c r="V121" s="453"/>
      <c r="Y121" s="453"/>
      <c r="AB121" s="453"/>
      <c r="AE121" s="453"/>
      <c r="AH121" s="453"/>
      <c r="AK121" s="453"/>
      <c r="AN121" s="453"/>
      <c r="AQ121" s="453"/>
      <c r="AT121" s="453"/>
      <c r="AW121" s="453"/>
      <c r="AZ121" s="453"/>
      <c r="BC121" s="453"/>
      <c r="BF121" s="453"/>
      <c r="BI121" s="453"/>
      <c r="BL121" s="453"/>
      <c r="BO121" s="453"/>
      <c r="BR121" s="453"/>
      <c r="BU121" s="453"/>
      <c r="BX121" s="453"/>
      <c r="CA121" s="453"/>
      <c r="CD121" s="453"/>
      <c r="CG121" s="453"/>
      <c r="CJ121" s="453"/>
      <c r="CM121" s="453"/>
      <c r="CP121" s="453"/>
      <c r="CS121" s="453"/>
      <c r="CV121" s="453"/>
      <c r="CY121" s="453"/>
      <c r="DB121" s="453"/>
      <c r="DE121" s="453"/>
      <c r="DH121" s="453"/>
      <c r="DK121" s="453"/>
      <c r="DN121" s="453"/>
      <c r="DQ121" s="453"/>
      <c r="DT121" s="453"/>
      <c r="DW121" s="453"/>
      <c r="DZ121" s="453"/>
      <c r="EC121" s="453"/>
      <c r="EF121" s="453"/>
      <c r="EI121" s="453"/>
      <c r="EL121" s="453"/>
      <c r="EO121" s="453"/>
      <c r="ER121" s="453"/>
      <c r="EU121" s="453"/>
      <c r="EX121" s="453"/>
      <c r="FA121" s="453"/>
      <c r="FD121" s="453"/>
      <c r="FG121" s="453"/>
      <c r="FJ121" s="453"/>
      <c r="FM121" s="453"/>
      <c r="FP121" s="453"/>
      <c r="FS121" s="453"/>
      <c r="FV121" s="453"/>
      <c r="FY121" s="453"/>
      <c r="GB121" s="453"/>
      <c r="GE121" s="453"/>
      <c r="GH121" s="453"/>
      <c r="GK121" s="453"/>
      <c r="GN121" s="453"/>
      <c r="GQ121" s="453"/>
      <c r="GT121" s="453"/>
      <c r="GW121" s="453"/>
      <c r="GZ121" s="453"/>
      <c r="HC121" s="453"/>
      <c r="HF121" s="453"/>
      <c r="HI121" s="453"/>
      <c r="IN121"/>
    </row>
    <row r="122" spans="1:267" x14ac:dyDescent="0.3">
      <c r="A122" s="4"/>
      <c r="B122" s="474"/>
      <c r="C122" s="474"/>
      <c r="D122" s="474"/>
      <c r="E122" s="474"/>
      <c r="F122" s="474"/>
      <c r="G122" s="474"/>
      <c r="H122" s="474"/>
      <c r="I122" s="474"/>
      <c r="J122" s="474"/>
      <c r="K122" s="474"/>
      <c r="L122" s="474"/>
      <c r="M122" s="474"/>
      <c r="N122" s="474"/>
      <c r="O122" s="474"/>
      <c r="P122" s="474"/>
      <c r="Q122" s="474"/>
      <c r="R122" s="474"/>
      <c r="S122" s="474"/>
      <c r="T122" s="474"/>
      <c r="U122" s="474"/>
      <c r="V122" s="474"/>
      <c r="W122" s="474"/>
      <c r="X122" s="474"/>
      <c r="Y122" s="474"/>
      <c r="Z122" s="474"/>
      <c r="AA122" s="474"/>
      <c r="AB122" s="474"/>
      <c r="AC122" s="474"/>
      <c r="AD122" s="474"/>
      <c r="AE122" s="474"/>
      <c r="AF122" s="474"/>
      <c r="AG122" s="474"/>
      <c r="AH122" s="474"/>
      <c r="AI122" s="474"/>
      <c r="AJ122" s="474"/>
      <c r="AK122" s="474"/>
      <c r="AL122" s="474"/>
      <c r="AM122" s="474"/>
      <c r="AN122" s="474"/>
      <c r="AO122" s="474"/>
      <c r="AP122" s="474"/>
      <c r="AQ122" s="474"/>
      <c r="AR122" s="474"/>
      <c r="AS122" s="474"/>
      <c r="AT122" s="474"/>
      <c r="AU122" s="474"/>
      <c r="AV122" s="474"/>
      <c r="AW122" s="474"/>
      <c r="AX122" s="474"/>
      <c r="AY122" s="474"/>
      <c r="AZ122" s="474"/>
      <c r="BA122" s="474"/>
      <c r="BB122" s="474"/>
      <c r="BC122" s="474"/>
      <c r="BD122" s="474"/>
      <c r="BE122" s="474"/>
      <c r="BF122" s="474"/>
      <c r="BG122" s="474"/>
      <c r="BH122" s="474"/>
      <c r="BI122" s="474"/>
      <c r="BJ122" s="474"/>
      <c r="BK122" s="474"/>
      <c r="BL122" s="474"/>
      <c r="BM122" s="474"/>
      <c r="BN122" s="474"/>
      <c r="BO122" s="474"/>
      <c r="BP122" s="474"/>
      <c r="BQ122" s="474"/>
      <c r="BR122" s="474"/>
      <c r="BS122" s="474"/>
      <c r="BT122" s="474"/>
      <c r="BU122" s="474"/>
      <c r="BV122" s="474"/>
      <c r="BW122" s="474"/>
      <c r="BX122" s="474"/>
      <c r="BY122" s="474"/>
      <c r="BZ122" s="474"/>
      <c r="CA122" s="474"/>
      <c r="CB122" s="474"/>
      <c r="CC122" s="474"/>
      <c r="CD122" s="474"/>
      <c r="CE122" s="474"/>
      <c r="CF122" s="475"/>
      <c r="CG122" s="475"/>
      <c r="CH122" s="475"/>
      <c r="CI122" s="475"/>
      <c r="CJ122" s="475"/>
      <c r="CK122" s="475"/>
      <c r="CL122" s="475"/>
      <c r="CM122" s="475"/>
      <c r="CN122" s="475"/>
      <c r="CO122" s="475"/>
      <c r="CP122" s="475"/>
      <c r="CQ122" s="475"/>
      <c r="CR122" s="475"/>
      <c r="CS122" s="475"/>
      <c r="CT122" s="475"/>
      <c r="CU122" s="475"/>
      <c r="CV122" s="475"/>
      <c r="CW122" s="475"/>
      <c r="CX122" s="475"/>
      <c r="CY122" s="475"/>
      <c r="CZ122" s="475"/>
      <c r="DA122" s="475"/>
      <c r="DB122" s="475"/>
      <c r="DC122" s="475"/>
      <c r="DD122" s="475"/>
      <c r="DE122" s="475"/>
      <c r="DF122" s="475"/>
      <c r="DG122" s="475"/>
      <c r="DH122" s="475"/>
      <c r="DI122" s="475"/>
      <c r="DJ122" s="475"/>
      <c r="DK122" s="475"/>
      <c r="DL122" s="475"/>
      <c r="DM122" s="475"/>
      <c r="DN122" s="475"/>
      <c r="DO122" s="475"/>
      <c r="DP122" s="475"/>
      <c r="DQ122" s="475"/>
      <c r="DR122" s="475"/>
      <c r="DS122" s="475"/>
      <c r="DT122" s="475"/>
      <c r="DU122" s="475"/>
      <c r="DV122" s="475"/>
      <c r="DW122" s="475"/>
      <c r="DX122" s="475"/>
      <c r="DY122" s="475"/>
      <c r="DZ122" s="475"/>
      <c r="EA122" s="475"/>
      <c r="EB122" s="475"/>
      <c r="EC122" s="475"/>
      <c r="ED122" s="475"/>
      <c r="EE122" s="475"/>
      <c r="EF122" s="475"/>
      <c r="EG122" s="475"/>
      <c r="EH122" s="475"/>
      <c r="EI122" s="475"/>
      <c r="EJ122" s="475"/>
      <c r="EK122" s="475"/>
      <c r="EL122" s="475"/>
      <c r="EM122" s="475"/>
      <c r="EN122" s="475"/>
      <c r="EO122" s="475"/>
      <c r="EP122" s="475"/>
      <c r="EQ122" s="475"/>
      <c r="ER122" s="475"/>
      <c r="ES122" s="475"/>
      <c r="ET122" s="475"/>
      <c r="EU122" s="475"/>
      <c r="EV122" s="475"/>
      <c r="EW122" s="475"/>
      <c r="EX122" s="475"/>
      <c r="EY122" s="475"/>
      <c r="EZ122" s="475"/>
      <c r="FA122" s="475"/>
      <c r="FB122" s="475"/>
      <c r="FC122" s="475"/>
      <c r="FD122" s="475"/>
      <c r="FE122" s="475"/>
      <c r="FF122" s="475"/>
      <c r="FG122" s="475"/>
      <c r="FH122" s="475"/>
      <c r="FI122" s="475"/>
      <c r="FJ122" s="475"/>
      <c r="FK122" s="475"/>
      <c r="FL122" s="475"/>
      <c r="FM122" s="475"/>
      <c r="FN122" s="475"/>
      <c r="FO122" s="475"/>
      <c r="FP122" s="475"/>
      <c r="FQ122" s="475"/>
      <c r="FR122" s="475"/>
      <c r="FS122" s="475"/>
      <c r="FT122" s="475"/>
      <c r="FU122" s="475"/>
      <c r="FV122" s="475"/>
      <c r="FW122" s="475"/>
      <c r="FX122" s="475"/>
      <c r="FY122" s="475"/>
      <c r="FZ122" s="475"/>
      <c r="GA122" s="475"/>
      <c r="GB122" s="475"/>
      <c r="GC122" s="475"/>
      <c r="GD122" s="475"/>
      <c r="GE122" s="475"/>
      <c r="GF122" s="475"/>
      <c r="GG122" s="475"/>
      <c r="GH122" s="475"/>
      <c r="GI122" s="475"/>
      <c r="GJ122" s="475"/>
      <c r="GK122" s="475"/>
      <c r="GL122" s="475"/>
      <c r="GM122" s="475"/>
      <c r="GN122" s="475"/>
      <c r="GO122" s="475"/>
      <c r="GP122" s="475"/>
      <c r="GQ122" s="475"/>
      <c r="GR122" s="475"/>
      <c r="GS122" s="475"/>
      <c r="GT122" s="475"/>
      <c r="GU122" s="475"/>
      <c r="GV122" s="475"/>
      <c r="GW122" s="475"/>
      <c r="GX122" s="475"/>
      <c r="GY122" s="475"/>
      <c r="GZ122" s="475"/>
      <c r="HA122" s="475"/>
      <c r="HB122" s="475"/>
      <c r="HC122" s="475"/>
      <c r="HD122" s="475"/>
      <c r="HE122" s="475"/>
      <c r="HF122" s="475"/>
      <c r="HG122" s="475"/>
      <c r="HH122" s="475"/>
      <c r="HI122" s="475"/>
      <c r="HJ122" s="475"/>
      <c r="HK122" s="475"/>
      <c r="HL122" s="475"/>
      <c r="HM122" s="475"/>
      <c r="HN122" s="475"/>
      <c r="HO122" s="475"/>
      <c r="HP122" s="475"/>
      <c r="HQ122" s="475"/>
      <c r="HR122" s="475"/>
      <c r="HS122" s="475"/>
      <c r="HT122" s="475"/>
      <c r="HU122" s="475"/>
      <c r="HV122" s="475"/>
      <c r="HW122" s="475"/>
      <c r="HX122" s="475"/>
      <c r="HY122" s="475"/>
      <c r="HZ122" s="475"/>
      <c r="IA122" s="475"/>
      <c r="IB122" s="475"/>
      <c r="IC122" s="475"/>
      <c r="ID122" s="475"/>
      <c r="IE122" s="475"/>
      <c r="IF122" s="475"/>
      <c r="IG122" s="475"/>
      <c r="IH122" s="475"/>
      <c r="II122" s="475"/>
      <c r="IJ122" s="475"/>
      <c r="IK122" s="475"/>
      <c r="IL122" s="475"/>
      <c r="IM122" s="475"/>
      <c r="IN122" s="475"/>
      <c r="IO122" s="475"/>
      <c r="IP122" s="475"/>
      <c r="IQ122" s="475"/>
      <c r="IR122" s="475"/>
      <c r="IS122" s="475"/>
      <c r="IT122" s="475"/>
      <c r="IU122" s="475"/>
      <c r="IV122" s="475"/>
      <c r="IW122" s="478"/>
      <c r="IX122" s="478"/>
      <c r="IY122" s="478"/>
    </row>
    <row r="123" spans="1:267" x14ac:dyDescent="0.3">
      <c r="A123" s="476"/>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c r="BK123" s="15"/>
      <c r="BL123" s="15"/>
      <c r="BM123" s="15"/>
      <c r="BN123" s="15"/>
      <c r="BO123" s="15"/>
      <c r="BP123" s="15"/>
      <c r="BQ123" s="15"/>
      <c r="BR123" s="15"/>
      <c r="BS123" s="15"/>
      <c r="BT123" s="15"/>
      <c r="BU123" s="15"/>
      <c r="BV123" s="15"/>
      <c r="BW123" s="15"/>
      <c r="BX123" s="15"/>
      <c r="BY123" s="15"/>
      <c r="BZ123" s="15"/>
      <c r="CA123" s="15"/>
      <c r="CB123" s="15"/>
      <c r="CC123" s="15"/>
      <c r="CD123" s="15"/>
      <c r="CE123" s="15"/>
      <c r="CF123" s="15"/>
      <c r="CG123" s="15"/>
      <c r="CH123" s="15"/>
      <c r="CI123" s="15"/>
      <c r="CJ123" s="15"/>
      <c r="CK123" s="15"/>
      <c r="CL123" s="15"/>
      <c r="CM123" s="15"/>
      <c r="CN123" s="15"/>
      <c r="CO123" s="15"/>
      <c r="CP123" s="15"/>
      <c r="CQ123" s="15"/>
      <c r="CR123" s="15"/>
      <c r="CS123" s="15"/>
      <c r="CT123" s="15"/>
      <c r="CU123" s="15"/>
      <c r="CV123" s="15"/>
      <c r="CW123" s="15"/>
      <c r="CX123" s="15"/>
      <c r="CY123" s="15"/>
      <c r="CZ123" s="15"/>
      <c r="DA123" s="15"/>
      <c r="DB123" s="15"/>
      <c r="DC123" s="15"/>
      <c r="DD123" s="15"/>
      <c r="DE123" s="15"/>
      <c r="DF123" s="15"/>
      <c r="DG123" s="15"/>
      <c r="DH123" s="15"/>
      <c r="DI123" s="15"/>
      <c r="DJ123" s="15"/>
      <c r="DK123" s="15"/>
      <c r="DL123" s="15"/>
      <c r="DM123" s="15"/>
      <c r="DN123" s="15"/>
      <c r="DO123" s="15"/>
      <c r="DP123" s="15"/>
      <c r="DQ123" s="15"/>
      <c r="DR123" s="15"/>
      <c r="DS123" s="15"/>
      <c r="DT123" s="15"/>
      <c r="DU123" s="15"/>
      <c r="DV123" s="15"/>
      <c r="DW123" s="15"/>
      <c r="DX123" s="15"/>
      <c r="DY123" s="15"/>
      <c r="DZ123" s="15"/>
      <c r="EA123" s="15"/>
      <c r="EB123" s="15"/>
      <c r="EC123" s="15"/>
      <c r="ED123" s="15"/>
      <c r="EE123" s="15"/>
      <c r="EF123" s="15"/>
      <c r="EG123" s="15"/>
      <c r="EH123" s="15"/>
      <c r="EI123" s="15"/>
      <c r="EJ123" s="15"/>
      <c r="EK123" s="15"/>
      <c r="EL123" s="15"/>
      <c r="EM123" s="15"/>
      <c r="EN123" s="15"/>
      <c r="EO123" s="15"/>
      <c r="EP123" s="15"/>
      <c r="EQ123" s="15"/>
      <c r="ER123" s="15"/>
      <c r="ES123" s="15"/>
      <c r="ET123" s="15"/>
      <c r="EU123" s="15"/>
      <c r="EV123" s="15"/>
      <c r="EW123" s="15"/>
      <c r="EX123" s="15"/>
      <c r="EY123" s="15"/>
      <c r="EZ123" s="15"/>
      <c r="FA123" s="15"/>
      <c r="FB123" s="15"/>
      <c r="FC123" s="15"/>
      <c r="FD123" s="15"/>
      <c r="FE123" s="15"/>
      <c r="FF123" s="15"/>
      <c r="FG123" s="15"/>
      <c r="FH123" s="15"/>
      <c r="FI123" s="15"/>
      <c r="FJ123" s="15"/>
      <c r="FK123" s="15"/>
      <c r="FL123" s="15"/>
      <c r="FM123" s="15"/>
      <c r="FN123" s="15"/>
      <c r="FO123" s="15"/>
      <c r="FP123" s="15"/>
      <c r="FQ123" s="15"/>
      <c r="FR123" s="15"/>
      <c r="FS123" s="15"/>
      <c r="FT123" s="15"/>
      <c r="FU123" s="15"/>
      <c r="FV123" s="15"/>
      <c r="FW123" s="15"/>
      <c r="FX123" s="15"/>
      <c r="FY123" s="15"/>
      <c r="FZ123" s="15"/>
      <c r="GA123" s="15"/>
      <c r="GB123" s="15"/>
      <c r="GC123" s="15"/>
      <c r="GD123" s="15"/>
      <c r="GE123" s="15"/>
      <c r="GF123" s="15"/>
      <c r="GG123" s="15"/>
      <c r="GH123" s="15"/>
      <c r="GI123" s="15"/>
      <c r="GJ123" s="15"/>
      <c r="GK123" s="15"/>
      <c r="GL123" s="15"/>
      <c r="GM123" s="15"/>
      <c r="GN123" s="15"/>
      <c r="GO123" s="15"/>
      <c r="GP123" s="15"/>
      <c r="GQ123" s="15"/>
      <c r="GR123" s="15"/>
      <c r="GS123" s="15"/>
      <c r="GT123" s="15"/>
      <c r="GU123" s="15"/>
      <c r="GV123" s="15"/>
      <c r="GW123" s="15"/>
      <c r="GX123" s="15"/>
      <c r="GY123" s="15"/>
      <c r="GZ123" s="15"/>
      <c r="HA123" s="15"/>
      <c r="HB123" s="15"/>
      <c r="HC123" s="15"/>
      <c r="HD123" s="15"/>
      <c r="HE123" s="15"/>
      <c r="HF123" s="15"/>
      <c r="HG123" s="15"/>
      <c r="HH123" s="15"/>
      <c r="HI123" s="15"/>
      <c r="HJ123" s="15"/>
      <c r="HK123" s="15"/>
      <c r="HL123" s="15"/>
      <c r="HM123" s="15"/>
      <c r="HN123" s="15"/>
      <c r="HO123" s="15"/>
      <c r="HP123" s="15"/>
      <c r="HQ123" s="15"/>
      <c r="HR123" s="15"/>
      <c r="HS123" s="15"/>
      <c r="HT123" s="15"/>
      <c r="HU123" s="15"/>
      <c r="HV123" s="15"/>
      <c r="HW123" s="15"/>
      <c r="HX123" s="15"/>
      <c r="HY123" s="15"/>
      <c r="HZ123" s="15"/>
      <c r="IA123" s="15"/>
      <c r="IB123" s="15"/>
      <c r="IC123" s="15"/>
      <c r="ID123" s="15"/>
      <c r="IE123" s="15"/>
      <c r="IF123" s="15"/>
      <c r="IG123" s="15"/>
      <c r="IH123" s="15"/>
      <c r="II123" s="15"/>
      <c r="IJ123" s="15"/>
      <c r="IK123" s="15"/>
      <c r="IL123" s="15"/>
      <c r="IM123" s="15"/>
      <c r="IN123" s="15"/>
      <c r="IO123" s="15"/>
      <c r="IP123" s="15"/>
      <c r="IQ123" s="15"/>
      <c r="IR123" s="15"/>
      <c r="IS123" s="15"/>
      <c r="IT123" s="15"/>
      <c r="IU123" s="15"/>
      <c r="IV123" s="15"/>
      <c r="IW123" s="479"/>
      <c r="IX123" s="479"/>
      <c r="IY123" s="479"/>
    </row>
    <row r="124" spans="1:267" x14ac:dyDescent="0.3">
      <c r="A124" s="476"/>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c r="BK124" s="15"/>
      <c r="BL124" s="15"/>
      <c r="BM124" s="15"/>
      <c r="BN124" s="15"/>
      <c r="BO124" s="15"/>
      <c r="BP124" s="15"/>
      <c r="BQ124" s="15"/>
      <c r="BR124" s="15"/>
      <c r="BS124" s="15"/>
      <c r="BT124" s="15"/>
      <c r="BU124" s="15"/>
      <c r="BV124" s="15"/>
      <c r="BW124" s="15"/>
      <c r="BX124" s="15"/>
      <c r="BY124" s="15"/>
      <c r="BZ124" s="15"/>
      <c r="CA124" s="15"/>
      <c r="CB124" s="15"/>
      <c r="CC124" s="15"/>
      <c r="CD124" s="15"/>
      <c r="CE124" s="15"/>
      <c r="CF124" s="15"/>
      <c r="CG124" s="15"/>
      <c r="CH124" s="15"/>
      <c r="CI124" s="15"/>
      <c r="CJ124" s="15"/>
      <c r="CK124" s="15"/>
      <c r="CL124" s="15"/>
      <c r="CM124" s="15"/>
      <c r="CN124" s="15"/>
      <c r="CO124" s="15"/>
      <c r="CP124" s="15"/>
      <c r="CQ124" s="15"/>
      <c r="CR124" s="15"/>
      <c r="CS124" s="15"/>
      <c r="CT124" s="15"/>
      <c r="CU124" s="15"/>
      <c r="CV124" s="15"/>
      <c r="CW124" s="15"/>
      <c r="CX124" s="15"/>
      <c r="CY124" s="15"/>
      <c r="CZ124" s="15"/>
      <c r="DA124" s="15"/>
      <c r="DB124" s="15"/>
      <c r="DC124" s="15"/>
      <c r="DD124" s="15"/>
      <c r="DE124" s="15"/>
      <c r="DF124" s="15"/>
      <c r="DG124" s="15"/>
      <c r="DH124" s="15"/>
      <c r="DI124" s="15"/>
      <c r="DJ124" s="15"/>
      <c r="DK124" s="15"/>
      <c r="DL124" s="15"/>
      <c r="DM124" s="15"/>
      <c r="DN124" s="15"/>
      <c r="DO124" s="15"/>
      <c r="DP124" s="15"/>
      <c r="DQ124" s="15"/>
      <c r="DR124" s="15"/>
      <c r="DS124" s="15"/>
      <c r="DT124" s="15"/>
      <c r="DU124" s="15"/>
      <c r="DV124" s="15"/>
      <c r="DW124" s="15"/>
      <c r="DX124" s="15"/>
      <c r="DY124" s="15"/>
      <c r="DZ124" s="15"/>
      <c r="EA124" s="15"/>
      <c r="EB124" s="15"/>
      <c r="EC124" s="15"/>
      <c r="ED124" s="15"/>
      <c r="EE124" s="15"/>
      <c r="EF124" s="15"/>
      <c r="EG124" s="15"/>
      <c r="EH124" s="15"/>
      <c r="EI124" s="15"/>
      <c r="EJ124" s="15"/>
      <c r="EK124" s="15"/>
      <c r="EL124" s="15"/>
      <c r="EM124" s="15"/>
      <c r="EN124" s="15"/>
      <c r="EO124" s="15"/>
      <c r="EP124" s="15"/>
      <c r="EQ124" s="15"/>
      <c r="ER124" s="15"/>
      <c r="ES124" s="15"/>
      <c r="ET124" s="15"/>
      <c r="EU124" s="15"/>
      <c r="EV124" s="15"/>
      <c r="EW124" s="15"/>
      <c r="EX124" s="15"/>
      <c r="EY124" s="15"/>
      <c r="EZ124" s="15"/>
      <c r="FA124" s="15"/>
      <c r="FB124" s="15"/>
      <c r="FC124" s="15"/>
      <c r="FD124" s="15"/>
      <c r="FE124" s="15"/>
      <c r="FF124" s="15"/>
      <c r="FG124" s="15"/>
      <c r="FH124" s="15"/>
      <c r="FI124" s="15"/>
      <c r="FJ124" s="15"/>
      <c r="FK124" s="15"/>
      <c r="FL124" s="15"/>
      <c r="FM124" s="15"/>
      <c r="FN124" s="15"/>
      <c r="FO124" s="15"/>
      <c r="FP124" s="15"/>
      <c r="FQ124" s="15"/>
      <c r="FR124" s="15"/>
      <c r="FS124" s="15"/>
      <c r="FT124" s="15"/>
      <c r="FU124" s="15"/>
      <c r="FV124" s="15"/>
      <c r="FW124" s="15"/>
      <c r="FX124" s="15"/>
      <c r="FY124" s="15"/>
      <c r="FZ124" s="15"/>
      <c r="GA124" s="15"/>
      <c r="GB124" s="15"/>
      <c r="GC124" s="15"/>
      <c r="GD124" s="15"/>
      <c r="GE124" s="15"/>
      <c r="GF124" s="15"/>
      <c r="GG124" s="15"/>
      <c r="GH124" s="15"/>
      <c r="GI124" s="15"/>
      <c r="GJ124" s="15"/>
      <c r="GK124" s="15"/>
      <c r="GL124" s="15"/>
      <c r="GM124" s="15"/>
      <c r="GN124" s="15"/>
      <c r="GO124" s="15"/>
      <c r="GP124" s="15"/>
      <c r="GQ124" s="15"/>
      <c r="GR124" s="15"/>
      <c r="GS124" s="15"/>
      <c r="GT124" s="15"/>
      <c r="GU124" s="15"/>
      <c r="GV124" s="15"/>
      <c r="GW124" s="15"/>
      <c r="GX124" s="15"/>
      <c r="GY124" s="15"/>
      <c r="GZ124" s="15"/>
      <c r="HA124" s="15"/>
      <c r="HB124" s="15"/>
      <c r="HC124" s="15"/>
      <c r="HD124" s="15"/>
      <c r="HE124" s="15"/>
      <c r="HF124" s="15"/>
      <c r="HG124" s="15"/>
      <c r="HH124" s="15"/>
      <c r="HI124" s="15"/>
      <c r="HJ124" s="15"/>
      <c r="HK124" s="15"/>
      <c r="HL124" s="15"/>
      <c r="HM124" s="15"/>
      <c r="HN124" s="15"/>
      <c r="HO124" s="15"/>
      <c r="HP124" s="15"/>
      <c r="HQ124" s="15"/>
      <c r="HR124" s="15"/>
      <c r="HS124" s="15"/>
      <c r="HT124" s="15"/>
      <c r="HU124" s="15"/>
      <c r="HV124" s="15"/>
      <c r="HW124" s="15"/>
      <c r="HX124" s="15"/>
      <c r="HY124" s="15"/>
      <c r="HZ124" s="15"/>
      <c r="IA124" s="15"/>
      <c r="IB124" s="15"/>
      <c r="IC124" s="15"/>
      <c r="ID124" s="15"/>
      <c r="IE124" s="15"/>
      <c r="IF124" s="15"/>
      <c r="IG124" s="15"/>
      <c r="IH124" s="15"/>
      <c r="II124" s="15"/>
      <c r="IJ124" s="15"/>
      <c r="IK124" s="15"/>
      <c r="IL124" s="15"/>
      <c r="IM124" s="15"/>
      <c r="IN124" s="15"/>
      <c r="IO124" s="15"/>
      <c r="IP124" s="15"/>
      <c r="IQ124" s="15"/>
      <c r="IR124" s="15"/>
      <c r="IS124" s="15"/>
      <c r="IT124" s="15"/>
      <c r="IU124" s="15"/>
      <c r="IV124" s="15"/>
      <c r="IW124" s="479"/>
      <c r="IX124" s="479"/>
      <c r="IY124" s="479"/>
    </row>
    <row r="125" spans="1:267" x14ac:dyDescent="0.3">
      <c r="A125" s="476"/>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c r="BK125" s="15"/>
      <c r="BL125" s="15"/>
      <c r="BM125" s="15"/>
      <c r="BN125" s="15"/>
      <c r="BO125" s="15"/>
      <c r="BP125" s="15"/>
      <c r="BQ125" s="15"/>
      <c r="BR125" s="15"/>
      <c r="BS125" s="15"/>
      <c r="BT125" s="15"/>
      <c r="BU125" s="15"/>
      <c r="BV125" s="15"/>
      <c r="BW125" s="15"/>
      <c r="BX125" s="15"/>
      <c r="BY125" s="15"/>
      <c r="BZ125" s="15"/>
      <c r="CA125" s="15"/>
      <c r="CB125" s="15"/>
      <c r="CC125" s="15"/>
      <c r="CD125" s="15"/>
      <c r="CE125" s="15"/>
      <c r="CF125" s="15"/>
      <c r="CG125" s="15"/>
      <c r="CH125" s="15"/>
      <c r="CI125" s="15"/>
      <c r="CJ125" s="15"/>
      <c r="CK125" s="15"/>
      <c r="CL125" s="15"/>
      <c r="CM125" s="15"/>
      <c r="CN125" s="15"/>
      <c r="CO125" s="15"/>
      <c r="CP125" s="15"/>
      <c r="CQ125" s="15"/>
      <c r="CR125" s="15"/>
      <c r="CS125" s="15"/>
      <c r="CT125" s="15"/>
      <c r="CU125" s="15"/>
      <c r="CV125" s="15"/>
      <c r="CW125" s="15"/>
      <c r="CX125" s="15"/>
      <c r="CY125" s="15"/>
      <c r="CZ125" s="15"/>
      <c r="DA125" s="15"/>
      <c r="DB125" s="15"/>
      <c r="DC125" s="15"/>
      <c r="DD125" s="15"/>
      <c r="DE125" s="15"/>
      <c r="DF125" s="15"/>
      <c r="DG125" s="15"/>
      <c r="DH125" s="15"/>
      <c r="DI125" s="15"/>
      <c r="DJ125" s="15"/>
      <c r="DK125" s="15"/>
      <c r="DL125" s="15"/>
      <c r="DM125" s="15"/>
      <c r="DN125" s="15"/>
      <c r="DO125" s="15"/>
      <c r="DP125" s="15"/>
      <c r="DQ125" s="15"/>
      <c r="DR125" s="15"/>
      <c r="DS125" s="15"/>
      <c r="DT125" s="15"/>
      <c r="DU125" s="15"/>
      <c r="DV125" s="15"/>
      <c r="DW125" s="15"/>
      <c r="DX125" s="15"/>
      <c r="DY125" s="15"/>
      <c r="DZ125" s="15"/>
      <c r="EA125" s="15"/>
      <c r="EB125" s="15"/>
      <c r="EC125" s="15"/>
      <c r="ED125" s="15"/>
      <c r="EE125" s="15"/>
      <c r="EF125" s="15"/>
      <c r="EG125" s="15"/>
      <c r="EH125" s="15"/>
      <c r="EI125" s="15"/>
      <c r="EJ125" s="15"/>
      <c r="EK125" s="15"/>
      <c r="EL125" s="15"/>
      <c r="EM125" s="15"/>
      <c r="EN125" s="15"/>
      <c r="EO125" s="15"/>
      <c r="EP125" s="15"/>
      <c r="EQ125" s="15"/>
      <c r="ER125" s="15"/>
      <c r="ES125" s="15"/>
      <c r="ET125" s="15"/>
      <c r="EU125" s="15"/>
      <c r="EV125" s="15"/>
      <c r="EW125" s="15"/>
      <c r="EX125" s="15"/>
      <c r="EY125" s="15"/>
      <c r="EZ125" s="15"/>
      <c r="FA125" s="15"/>
      <c r="FB125" s="15"/>
      <c r="FC125" s="15"/>
      <c r="FD125" s="15"/>
      <c r="FE125" s="15"/>
      <c r="FF125" s="15"/>
      <c r="FG125" s="15"/>
      <c r="FH125" s="15"/>
      <c r="FI125" s="15"/>
      <c r="FJ125" s="15"/>
      <c r="FK125" s="15"/>
      <c r="FL125" s="15"/>
      <c r="FM125" s="15"/>
      <c r="FN125" s="15"/>
      <c r="FO125" s="15"/>
      <c r="FP125" s="15"/>
      <c r="FQ125" s="15"/>
      <c r="FR125" s="15"/>
      <c r="FS125" s="15"/>
      <c r="FT125" s="15"/>
      <c r="FU125" s="15"/>
      <c r="FV125" s="15"/>
      <c r="FW125" s="15"/>
      <c r="FX125" s="15"/>
      <c r="FY125" s="15"/>
      <c r="FZ125" s="15"/>
      <c r="GA125" s="15"/>
      <c r="GB125" s="15"/>
      <c r="GC125" s="15"/>
      <c r="GD125" s="15"/>
      <c r="GE125" s="15"/>
      <c r="GF125" s="15"/>
      <c r="GG125" s="15"/>
      <c r="GH125" s="15"/>
      <c r="GI125" s="15"/>
      <c r="GJ125" s="15"/>
      <c r="GK125" s="15"/>
      <c r="GL125" s="15"/>
      <c r="GM125" s="15"/>
      <c r="GN125" s="15"/>
      <c r="GO125" s="15"/>
      <c r="GP125" s="15"/>
      <c r="GQ125" s="15"/>
      <c r="GR125" s="15"/>
      <c r="GS125" s="15"/>
      <c r="GT125" s="15"/>
      <c r="GU125" s="15"/>
      <c r="GV125" s="15"/>
      <c r="GW125" s="15"/>
      <c r="GX125" s="15"/>
      <c r="GY125" s="15"/>
      <c r="GZ125" s="15"/>
      <c r="HA125" s="15"/>
      <c r="HB125" s="15"/>
      <c r="HC125" s="15"/>
      <c r="HD125" s="15"/>
      <c r="HE125" s="15"/>
      <c r="HF125" s="15"/>
      <c r="HG125" s="15"/>
      <c r="HH125" s="15"/>
      <c r="HI125" s="15"/>
      <c r="HJ125" s="15"/>
      <c r="HK125" s="15"/>
      <c r="HL125" s="15"/>
      <c r="HM125" s="15"/>
      <c r="HN125" s="15"/>
      <c r="HO125" s="15"/>
      <c r="HP125" s="15"/>
      <c r="HQ125" s="15"/>
      <c r="HR125" s="15"/>
      <c r="HS125" s="15"/>
      <c r="HT125" s="15"/>
      <c r="HU125" s="15"/>
      <c r="HV125" s="15"/>
      <c r="HW125" s="15"/>
      <c r="HX125" s="15"/>
      <c r="HY125" s="15"/>
      <c r="HZ125" s="15"/>
      <c r="IA125" s="15"/>
      <c r="IB125" s="15"/>
      <c r="IC125" s="15"/>
      <c r="ID125" s="15"/>
      <c r="IE125" s="15"/>
      <c r="IF125" s="15"/>
      <c r="IG125" s="15"/>
      <c r="IH125" s="15"/>
      <c r="II125" s="15"/>
      <c r="IJ125" s="15"/>
      <c r="IK125" s="15"/>
      <c r="IL125" s="15"/>
      <c r="IM125" s="15"/>
      <c r="IN125" s="15"/>
      <c r="IO125" s="15"/>
      <c r="IP125" s="15"/>
      <c r="IQ125" s="15"/>
      <c r="IR125" s="15"/>
      <c r="IS125" s="15"/>
      <c r="IT125" s="15"/>
      <c r="IU125" s="15"/>
      <c r="IV125" s="15"/>
      <c r="IW125" s="479"/>
      <c r="IX125" s="479"/>
      <c r="IY125" s="479"/>
      <c r="IZ125" s="15"/>
      <c r="JA125" s="15"/>
      <c r="JB125" s="15"/>
      <c r="JC125" s="15"/>
      <c r="JD125" s="15"/>
      <c r="JE125" s="15"/>
      <c r="JF125" s="395"/>
      <c r="JG125" s="395"/>
    </row>
    <row r="126" spans="1:267" x14ac:dyDescent="0.3">
      <c r="A126" s="476"/>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c r="BH126" s="15"/>
      <c r="BI126" s="15"/>
      <c r="BJ126" s="15"/>
      <c r="BK126" s="15"/>
      <c r="BL126" s="15"/>
      <c r="BM126" s="15"/>
      <c r="BN126" s="15"/>
      <c r="BO126" s="15"/>
      <c r="BP126" s="15"/>
      <c r="BQ126" s="15"/>
      <c r="BR126" s="15"/>
      <c r="BS126" s="15"/>
      <c r="BT126" s="15"/>
      <c r="BU126" s="15"/>
      <c r="BV126" s="15"/>
      <c r="BW126" s="15"/>
      <c r="BX126" s="15"/>
      <c r="BY126" s="15"/>
      <c r="BZ126" s="15"/>
      <c r="CA126" s="15"/>
      <c r="CB126" s="15"/>
      <c r="CC126" s="15"/>
      <c r="CD126" s="15"/>
      <c r="CE126" s="15"/>
      <c r="CF126" s="15"/>
      <c r="CG126" s="15"/>
      <c r="CH126" s="15"/>
      <c r="CI126" s="15"/>
      <c r="CJ126" s="15"/>
      <c r="CK126" s="15"/>
      <c r="CL126" s="15"/>
      <c r="CM126" s="15"/>
      <c r="CN126" s="15"/>
      <c r="CO126" s="15"/>
      <c r="CP126" s="15"/>
      <c r="CQ126" s="15"/>
      <c r="CR126" s="15"/>
      <c r="CS126" s="15"/>
      <c r="CT126" s="15"/>
      <c r="CU126" s="15"/>
      <c r="CV126" s="15"/>
      <c r="CW126" s="15"/>
      <c r="CX126" s="15"/>
      <c r="CY126" s="15"/>
      <c r="CZ126" s="15"/>
      <c r="DA126" s="15"/>
      <c r="DB126" s="15"/>
      <c r="DC126" s="15"/>
      <c r="DD126" s="15"/>
      <c r="DE126" s="15"/>
      <c r="DF126" s="15"/>
      <c r="DG126" s="15"/>
      <c r="DH126" s="15"/>
      <c r="DI126" s="15"/>
      <c r="DJ126" s="15"/>
      <c r="DK126" s="15"/>
      <c r="DL126" s="15"/>
      <c r="DM126" s="15"/>
      <c r="DN126" s="15"/>
      <c r="DO126" s="15"/>
      <c r="DP126" s="15"/>
      <c r="DQ126" s="15"/>
      <c r="DR126" s="15"/>
      <c r="DS126" s="15"/>
      <c r="DT126" s="15"/>
      <c r="DU126" s="15"/>
      <c r="DV126" s="15"/>
      <c r="DW126" s="15"/>
      <c r="DX126" s="15"/>
      <c r="DY126" s="15"/>
      <c r="DZ126" s="15"/>
      <c r="EA126" s="15"/>
      <c r="EB126" s="15"/>
      <c r="EC126" s="15"/>
      <c r="ED126" s="15"/>
      <c r="EE126" s="15"/>
      <c r="EF126" s="15"/>
      <c r="EG126" s="15"/>
      <c r="EH126" s="15"/>
      <c r="EI126" s="15"/>
      <c r="EJ126" s="15"/>
      <c r="EK126" s="15"/>
      <c r="EL126" s="15"/>
      <c r="EM126" s="15"/>
      <c r="EN126" s="15"/>
      <c r="EO126" s="15"/>
      <c r="EP126" s="15"/>
      <c r="EQ126" s="15"/>
      <c r="ER126" s="15"/>
      <c r="ES126" s="15"/>
      <c r="ET126" s="15"/>
      <c r="EU126" s="15"/>
      <c r="EV126" s="15"/>
      <c r="EW126" s="15"/>
      <c r="EX126" s="15"/>
      <c r="EY126" s="15"/>
      <c r="EZ126" s="15"/>
      <c r="FA126" s="15"/>
      <c r="FB126" s="15"/>
      <c r="FC126" s="15"/>
      <c r="FD126" s="15"/>
      <c r="FE126" s="15"/>
      <c r="FF126" s="15"/>
      <c r="FG126" s="15"/>
      <c r="FH126" s="15"/>
      <c r="FI126" s="15"/>
      <c r="FJ126" s="15"/>
      <c r="FK126" s="15"/>
      <c r="FL126" s="15"/>
      <c r="FM126" s="15"/>
      <c r="FN126" s="15"/>
      <c r="FO126" s="15"/>
      <c r="FP126" s="15"/>
      <c r="FQ126" s="15"/>
      <c r="FR126" s="15"/>
      <c r="FS126" s="15"/>
      <c r="FT126" s="15"/>
      <c r="FU126" s="15"/>
      <c r="FV126" s="15"/>
      <c r="FW126" s="15"/>
      <c r="FX126" s="15"/>
      <c r="FY126" s="15"/>
      <c r="FZ126" s="15"/>
      <c r="GA126" s="15"/>
      <c r="GB126" s="15"/>
      <c r="GC126" s="15"/>
      <c r="GD126" s="15"/>
      <c r="GE126" s="15"/>
      <c r="GF126" s="15"/>
      <c r="GG126" s="15"/>
      <c r="GH126" s="15"/>
      <c r="GI126" s="15"/>
      <c r="GJ126" s="15"/>
      <c r="GK126" s="15"/>
      <c r="GL126" s="15"/>
      <c r="GM126" s="15"/>
      <c r="GN126" s="15"/>
      <c r="GO126" s="15"/>
      <c r="GP126" s="15"/>
      <c r="GQ126" s="15"/>
      <c r="GR126" s="15"/>
      <c r="GS126" s="15"/>
      <c r="GT126" s="15"/>
      <c r="GU126" s="15"/>
      <c r="GV126" s="15"/>
      <c r="GW126" s="15"/>
      <c r="GX126" s="15"/>
      <c r="GY126" s="15"/>
      <c r="GZ126" s="15"/>
      <c r="HA126" s="15"/>
      <c r="HB126" s="15"/>
      <c r="HC126" s="15"/>
      <c r="HD126" s="15"/>
      <c r="HE126" s="15"/>
      <c r="HF126" s="15"/>
      <c r="HG126" s="15"/>
      <c r="HH126" s="15"/>
      <c r="HI126" s="15"/>
      <c r="HJ126" s="15"/>
      <c r="HK126" s="15"/>
      <c r="HL126" s="15"/>
      <c r="HM126" s="15"/>
      <c r="HN126" s="15"/>
      <c r="HO126" s="15"/>
      <c r="HP126" s="15"/>
      <c r="HQ126" s="15"/>
      <c r="HR126" s="15"/>
      <c r="HS126" s="15"/>
      <c r="HT126" s="15"/>
      <c r="HU126" s="15"/>
      <c r="HV126" s="15"/>
      <c r="HW126" s="15"/>
      <c r="HX126" s="15"/>
      <c r="HY126" s="15"/>
      <c r="HZ126" s="15"/>
      <c r="IA126" s="15"/>
      <c r="IB126" s="15"/>
      <c r="IC126" s="15"/>
      <c r="ID126" s="15"/>
      <c r="IE126" s="15"/>
      <c r="IF126" s="15"/>
      <c r="IG126" s="15"/>
      <c r="IH126" s="15"/>
      <c r="II126" s="15"/>
      <c r="IJ126" s="15"/>
      <c r="IK126" s="15"/>
      <c r="IL126" s="15"/>
      <c r="IM126" s="15"/>
      <c r="IN126" s="15"/>
      <c r="IO126" s="15"/>
      <c r="IP126" s="15"/>
      <c r="IQ126" s="15"/>
      <c r="IR126" s="15"/>
      <c r="IS126" s="15"/>
      <c r="IT126" s="15"/>
      <c r="IU126" s="15"/>
      <c r="IV126" s="15"/>
      <c r="IW126" s="479"/>
      <c r="IX126" s="479"/>
      <c r="IY126" s="479"/>
      <c r="IZ126" s="15"/>
      <c r="JA126" s="15"/>
      <c r="JB126" s="15"/>
      <c r="JC126" s="15"/>
      <c r="JD126" s="15"/>
      <c r="JE126" s="15"/>
      <c r="JF126" s="395"/>
      <c r="JG126" s="395"/>
    </row>
    <row r="127" spans="1:267" x14ac:dyDescent="0.3">
      <c r="A127" s="476"/>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c r="BK127" s="15"/>
      <c r="BL127" s="15"/>
      <c r="BM127" s="15"/>
      <c r="BN127" s="15"/>
      <c r="BO127" s="15"/>
      <c r="BP127" s="15"/>
      <c r="BQ127" s="15"/>
      <c r="BR127" s="15"/>
      <c r="BS127" s="15"/>
      <c r="BT127" s="15"/>
      <c r="BU127" s="15"/>
      <c r="BV127" s="15"/>
      <c r="BW127" s="15"/>
      <c r="BX127" s="15"/>
      <c r="BY127" s="15"/>
      <c r="BZ127" s="15"/>
      <c r="CA127" s="15"/>
      <c r="CB127" s="15"/>
      <c r="CC127" s="15"/>
      <c r="CD127" s="15"/>
      <c r="CE127" s="15"/>
      <c r="CF127" s="15"/>
      <c r="CG127" s="15"/>
      <c r="CH127" s="15"/>
      <c r="CI127" s="15"/>
      <c r="CJ127" s="15"/>
      <c r="CK127" s="15"/>
      <c r="CL127" s="15"/>
      <c r="CM127" s="15"/>
      <c r="CN127" s="15"/>
      <c r="CO127" s="15"/>
      <c r="CP127" s="15"/>
      <c r="CQ127" s="15"/>
      <c r="CR127" s="15"/>
      <c r="CS127" s="15"/>
      <c r="CT127" s="15"/>
      <c r="CU127" s="15"/>
      <c r="CV127" s="15"/>
      <c r="CW127" s="15"/>
      <c r="CX127" s="15"/>
      <c r="CY127" s="15"/>
      <c r="CZ127" s="15"/>
      <c r="DA127" s="15"/>
      <c r="DB127" s="15"/>
      <c r="DC127" s="15"/>
      <c r="DD127" s="15"/>
      <c r="DE127" s="15"/>
      <c r="DF127" s="15"/>
      <c r="DG127" s="15"/>
      <c r="DH127" s="15"/>
      <c r="DI127" s="15"/>
      <c r="DJ127" s="15"/>
      <c r="DK127" s="15"/>
      <c r="DL127" s="15"/>
      <c r="DM127" s="15"/>
      <c r="DN127" s="15"/>
      <c r="DO127" s="15"/>
      <c r="DP127" s="15"/>
      <c r="DQ127" s="15"/>
      <c r="DR127" s="15"/>
      <c r="DS127" s="15"/>
      <c r="DT127" s="15"/>
      <c r="DU127" s="15"/>
      <c r="DV127" s="15"/>
      <c r="DW127" s="15"/>
      <c r="DX127" s="15"/>
      <c r="DY127" s="15"/>
      <c r="DZ127" s="15"/>
      <c r="EA127" s="15"/>
      <c r="EB127" s="15"/>
      <c r="EC127" s="15"/>
      <c r="ED127" s="15"/>
      <c r="EE127" s="15"/>
      <c r="EF127" s="15"/>
      <c r="EG127" s="15"/>
      <c r="EH127" s="15"/>
      <c r="EI127" s="15"/>
      <c r="EJ127" s="15"/>
      <c r="EK127" s="15"/>
      <c r="EL127" s="15"/>
      <c r="EM127" s="15"/>
      <c r="EN127" s="15"/>
      <c r="EO127" s="15"/>
      <c r="EP127" s="15"/>
      <c r="EQ127" s="15"/>
      <c r="ER127" s="15"/>
      <c r="ES127" s="15"/>
      <c r="ET127" s="15"/>
      <c r="EU127" s="15"/>
      <c r="EV127" s="15"/>
      <c r="EW127" s="15"/>
      <c r="EX127" s="15"/>
      <c r="EY127" s="15"/>
      <c r="EZ127" s="15"/>
      <c r="FA127" s="15"/>
      <c r="FB127" s="15"/>
      <c r="FC127" s="15"/>
      <c r="FD127" s="15"/>
      <c r="FE127" s="15"/>
      <c r="FF127" s="15"/>
      <c r="FG127" s="15"/>
      <c r="FH127" s="15"/>
      <c r="FI127" s="15"/>
      <c r="FJ127" s="15"/>
      <c r="FK127" s="15"/>
      <c r="FL127" s="15"/>
      <c r="FM127" s="15"/>
      <c r="FN127" s="15"/>
      <c r="FO127" s="15"/>
      <c r="FP127" s="15"/>
      <c r="FQ127" s="15"/>
      <c r="FR127" s="15"/>
      <c r="FS127" s="15"/>
      <c r="FT127" s="15"/>
      <c r="FU127" s="15"/>
      <c r="FV127" s="15"/>
      <c r="FW127" s="15"/>
      <c r="FX127" s="15"/>
      <c r="FY127" s="15"/>
      <c r="FZ127" s="15"/>
      <c r="GA127" s="15"/>
      <c r="GB127" s="15"/>
      <c r="GC127" s="15"/>
      <c r="GD127" s="15"/>
      <c r="GE127" s="15"/>
      <c r="GF127" s="15"/>
      <c r="GG127" s="15"/>
      <c r="GH127" s="15"/>
      <c r="GI127" s="15"/>
      <c r="GJ127" s="15"/>
      <c r="GK127" s="15"/>
      <c r="GL127" s="15"/>
      <c r="GM127" s="15"/>
      <c r="GN127" s="15"/>
      <c r="GO127" s="15"/>
      <c r="GP127" s="15"/>
      <c r="GQ127" s="15"/>
      <c r="GR127" s="15"/>
      <c r="GS127" s="15"/>
      <c r="GT127" s="15"/>
      <c r="GU127" s="15"/>
      <c r="GV127" s="15"/>
      <c r="GW127" s="15"/>
      <c r="GX127" s="15"/>
      <c r="GY127" s="15"/>
      <c r="GZ127" s="15"/>
      <c r="HA127" s="15"/>
      <c r="HB127" s="15"/>
      <c r="HC127" s="15"/>
      <c r="HD127" s="15"/>
      <c r="HE127" s="15"/>
      <c r="HF127" s="15"/>
      <c r="HG127" s="15"/>
      <c r="HH127" s="15"/>
      <c r="HI127" s="15"/>
      <c r="HJ127" s="15"/>
      <c r="HK127" s="15"/>
      <c r="HL127" s="15"/>
      <c r="HM127" s="15"/>
      <c r="HN127" s="15"/>
      <c r="HO127" s="15"/>
      <c r="HP127" s="15"/>
      <c r="HQ127" s="15"/>
      <c r="HR127" s="15"/>
      <c r="HS127" s="15"/>
      <c r="HT127" s="15"/>
      <c r="HU127" s="15"/>
      <c r="HV127" s="15"/>
      <c r="HW127" s="15"/>
      <c r="HX127" s="15"/>
      <c r="HY127" s="15"/>
      <c r="HZ127" s="15"/>
      <c r="IA127" s="15"/>
      <c r="IB127" s="15"/>
      <c r="IC127" s="15"/>
      <c r="ID127" s="15"/>
      <c r="IE127" s="15"/>
      <c r="IF127" s="15"/>
      <c r="IG127" s="15"/>
      <c r="IH127" s="15"/>
      <c r="II127" s="15"/>
      <c r="IJ127" s="15"/>
      <c r="IK127" s="15"/>
      <c r="IL127" s="15"/>
      <c r="IM127" s="15"/>
      <c r="IN127" s="15"/>
      <c r="IO127" s="15"/>
      <c r="IP127" s="15"/>
      <c r="IQ127" s="15"/>
      <c r="IR127" s="15"/>
      <c r="IS127" s="15"/>
      <c r="IT127" s="15"/>
      <c r="IU127" s="15"/>
      <c r="IV127" s="15"/>
      <c r="IW127" s="479"/>
      <c r="IX127" s="479"/>
      <c r="IY127" s="479"/>
    </row>
    <row r="128" spans="1:267" x14ac:dyDescent="0.3">
      <c r="A128" s="476"/>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c r="BI128" s="15"/>
      <c r="BJ128" s="15"/>
      <c r="BK128" s="15"/>
      <c r="BL128" s="15"/>
      <c r="BM128" s="15"/>
      <c r="BN128" s="15"/>
      <c r="BO128" s="15"/>
      <c r="BP128" s="15"/>
      <c r="BQ128" s="15"/>
      <c r="BR128" s="15"/>
      <c r="BS128" s="15"/>
      <c r="BT128" s="15"/>
      <c r="BU128" s="15"/>
      <c r="BV128" s="15"/>
      <c r="BW128" s="15"/>
      <c r="BX128" s="15"/>
      <c r="BY128" s="15"/>
      <c r="BZ128" s="15"/>
      <c r="CA128" s="15"/>
      <c r="CB128" s="15"/>
      <c r="CC128" s="15"/>
      <c r="CD128" s="15"/>
      <c r="CE128" s="15"/>
      <c r="CF128" s="15"/>
      <c r="CG128" s="15"/>
      <c r="CH128" s="15"/>
      <c r="CI128" s="15"/>
      <c r="CJ128" s="15"/>
      <c r="CK128" s="15"/>
      <c r="CL128" s="15"/>
      <c r="CM128" s="15"/>
      <c r="CN128" s="15"/>
      <c r="CO128" s="15"/>
      <c r="CP128" s="15"/>
      <c r="CQ128" s="15"/>
      <c r="CR128" s="15"/>
      <c r="CS128" s="15"/>
      <c r="CT128" s="15"/>
      <c r="CU128" s="15"/>
      <c r="CV128" s="15"/>
      <c r="CW128" s="15"/>
      <c r="CX128" s="15"/>
      <c r="CY128" s="15"/>
      <c r="CZ128" s="15"/>
      <c r="DA128" s="15"/>
      <c r="DB128" s="15"/>
      <c r="DC128" s="15"/>
      <c r="DD128" s="15"/>
      <c r="DE128" s="15"/>
      <c r="DF128" s="15"/>
      <c r="DG128" s="15"/>
      <c r="DH128" s="15"/>
      <c r="DI128" s="15"/>
      <c r="DJ128" s="15"/>
      <c r="DK128" s="15"/>
      <c r="DL128" s="15"/>
      <c r="DM128" s="15"/>
      <c r="DN128" s="15"/>
      <c r="DO128" s="15"/>
      <c r="DP128" s="15"/>
      <c r="DQ128" s="15"/>
      <c r="DR128" s="15"/>
      <c r="DS128" s="15"/>
      <c r="DT128" s="15"/>
      <c r="DU128" s="15"/>
      <c r="DV128" s="15"/>
      <c r="DW128" s="15"/>
      <c r="DX128" s="15"/>
      <c r="DY128" s="15"/>
      <c r="DZ128" s="15"/>
      <c r="EA128" s="15"/>
      <c r="EB128" s="15"/>
      <c r="EC128" s="15"/>
      <c r="ED128" s="15"/>
      <c r="EE128" s="15"/>
      <c r="EF128" s="15"/>
      <c r="EG128" s="15"/>
      <c r="EH128" s="15"/>
      <c r="EI128" s="15"/>
      <c r="EJ128" s="15"/>
      <c r="EK128" s="15"/>
      <c r="EL128" s="15"/>
      <c r="EM128" s="15"/>
      <c r="EN128" s="15"/>
      <c r="EO128" s="15"/>
      <c r="EP128" s="15"/>
      <c r="EQ128" s="15"/>
      <c r="ER128" s="15"/>
      <c r="ES128" s="15"/>
      <c r="ET128" s="15"/>
      <c r="EU128" s="15"/>
      <c r="EV128" s="15"/>
      <c r="EW128" s="15"/>
      <c r="EX128" s="15"/>
      <c r="EY128" s="15"/>
      <c r="EZ128" s="15"/>
      <c r="FA128" s="15"/>
      <c r="FB128" s="15"/>
      <c r="FC128" s="15"/>
      <c r="FD128" s="15"/>
      <c r="FE128" s="15"/>
      <c r="FF128" s="15"/>
      <c r="FG128" s="15"/>
      <c r="FH128" s="15"/>
      <c r="FI128" s="15"/>
      <c r="FJ128" s="15"/>
      <c r="FK128" s="15"/>
      <c r="FL128" s="15"/>
      <c r="FM128" s="15"/>
      <c r="FN128" s="15"/>
      <c r="FO128" s="15"/>
      <c r="FP128" s="15"/>
      <c r="FQ128" s="15"/>
      <c r="FR128" s="15"/>
      <c r="FS128" s="15"/>
      <c r="FT128" s="15"/>
      <c r="FU128" s="15"/>
      <c r="FV128" s="15"/>
      <c r="FW128" s="15"/>
      <c r="FX128" s="15"/>
      <c r="FY128" s="15"/>
      <c r="FZ128" s="15"/>
      <c r="GA128" s="15"/>
      <c r="GB128" s="15"/>
      <c r="GC128" s="15"/>
      <c r="GD128" s="15"/>
      <c r="GE128" s="15"/>
      <c r="GF128" s="15"/>
      <c r="GG128" s="15"/>
      <c r="GH128" s="15"/>
      <c r="GI128" s="15"/>
      <c r="GJ128" s="15"/>
      <c r="GK128" s="15"/>
      <c r="GL128" s="15"/>
      <c r="GM128" s="15"/>
      <c r="GN128" s="15"/>
      <c r="GO128" s="15"/>
      <c r="GP128" s="15"/>
      <c r="GQ128" s="15"/>
      <c r="GR128" s="15"/>
      <c r="GS128" s="15"/>
      <c r="GT128" s="15"/>
      <c r="GU128" s="15"/>
      <c r="GV128" s="15"/>
      <c r="GW128" s="15"/>
      <c r="GX128" s="15"/>
      <c r="GY128" s="15"/>
      <c r="GZ128" s="15"/>
      <c r="HA128" s="15"/>
      <c r="HB128" s="15"/>
      <c r="HC128" s="15"/>
      <c r="HD128" s="15"/>
      <c r="HE128" s="15"/>
      <c r="HF128" s="15"/>
      <c r="HG128" s="15"/>
      <c r="HH128" s="15"/>
      <c r="HI128" s="15"/>
      <c r="HJ128" s="15"/>
      <c r="HK128" s="15"/>
      <c r="HL128" s="15"/>
      <c r="HM128" s="15"/>
      <c r="HN128" s="15"/>
      <c r="HO128" s="15"/>
      <c r="HP128" s="15"/>
      <c r="HQ128" s="15"/>
      <c r="HR128" s="15"/>
      <c r="HS128" s="15"/>
      <c r="HT128" s="15"/>
      <c r="HU128" s="15"/>
      <c r="HV128" s="15"/>
      <c r="HW128" s="15"/>
      <c r="HX128" s="15"/>
      <c r="HY128" s="15"/>
      <c r="HZ128" s="15"/>
      <c r="IA128" s="15"/>
      <c r="IB128" s="15"/>
      <c r="IC128" s="15"/>
      <c r="ID128" s="15"/>
      <c r="IE128" s="15"/>
      <c r="IF128" s="15"/>
      <c r="IG128" s="15"/>
      <c r="IH128" s="15"/>
      <c r="II128" s="15"/>
      <c r="IJ128" s="15"/>
      <c r="IK128" s="15"/>
      <c r="IL128" s="15"/>
      <c r="IM128" s="15"/>
      <c r="IN128" s="15"/>
      <c r="IO128" s="15"/>
      <c r="IP128" s="15"/>
      <c r="IQ128" s="15"/>
      <c r="IR128" s="15"/>
      <c r="IS128" s="15"/>
      <c r="IT128" s="15"/>
      <c r="IU128" s="15"/>
      <c r="IV128" s="15"/>
      <c r="IW128" s="479"/>
      <c r="IX128" s="479"/>
      <c r="IY128" s="479"/>
    </row>
    <row r="129" spans="1:259" x14ac:dyDescent="0.3">
      <c r="A129" s="476"/>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c r="BH129" s="15"/>
      <c r="BI129" s="15"/>
      <c r="BJ129" s="15"/>
      <c r="BK129" s="15"/>
      <c r="BL129" s="15"/>
      <c r="BM129" s="15"/>
      <c r="BN129" s="15"/>
      <c r="BO129" s="15"/>
      <c r="BP129" s="15"/>
      <c r="BQ129" s="15"/>
      <c r="BR129" s="15"/>
      <c r="BS129" s="15"/>
      <c r="BT129" s="15"/>
      <c r="BU129" s="15"/>
      <c r="BV129" s="15"/>
      <c r="BW129" s="15"/>
      <c r="BX129" s="15"/>
      <c r="BY129" s="15"/>
      <c r="BZ129" s="15"/>
      <c r="CA129" s="15"/>
      <c r="CB129" s="15"/>
      <c r="CC129" s="15"/>
      <c r="CD129" s="15"/>
      <c r="CE129" s="15"/>
      <c r="CF129" s="15"/>
      <c r="CG129" s="15"/>
      <c r="CH129" s="15"/>
      <c r="CI129" s="15"/>
      <c r="CJ129" s="15"/>
      <c r="CK129" s="15"/>
      <c r="CL129" s="15"/>
      <c r="CM129" s="15"/>
      <c r="CN129" s="15"/>
      <c r="CO129" s="15"/>
      <c r="CP129" s="15"/>
      <c r="CQ129" s="15"/>
      <c r="CR129" s="15"/>
      <c r="CS129" s="15"/>
      <c r="CT129" s="15"/>
      <c r="CU129" s="15"/>
      <c r="CV129" s="15"/>
      <c r="CW129" s="15"/>
      <c r="CX129" s="15"/>
      <c r="CY129" s="15"/>
      <c r="CZ129" s="15"/>
      <c r="DA129" s="15"/>
      <c r="DB129" s="15"/>
      <c r="DC129" s="15"/>
      <c r="DD129" s="15"/>
      <c r="DE129" s="15"/>
      <c r="DF129" s="15"/>
      <c r="DG129" s="15"/>
      <c r="DH129" s="15"/>
      <c r="DI129" s="15"/>
      <c r="DJ129" s="15"/>
      <c r="DK129" s="15"/>
      <c r="DL129" s="15"/>
      <c r="DM129" s="15"/>
      <c r="DN129" s="15"/>
      <c r="DO129" s="15"/>
      <c r="DP129" s="15"/>
      <c r="DQ129" s="15"/>
      <c r="DR129" s="15"/>
      <c r="DS129" s="15"/>
      <c r="DT129" s="15"/>
      <c r="DU129" s="15"/>
      <c r="DV129" s="15"/>
      <c r="DW129" s="15"/>
      <c r="DX129" s="15"/>
      <c r="DY129" s="15"/>
      <c r="DZ129" s="15"/>
      <c r="EA129" s="15"/>
      <c r="EB129" s="15"/>
      <c r="EC129" s="15"/>
      <c r="ED129" s="15"/>
      <c r="EE129" s="15"/>
      <c r="EF129" s="15"/>
      <c r="EG129" s="15"/>
      <c r="EH129" s="15"/>
      <c r="EI129" s="15"/>
      <c r="EJ129" s="15"/>
      <c r="EK129" s="15"/>
      <c r="EL129" s="15"/>
      <c r="EM129" s="15"/>
      <c r="EN129" s="15"/>
      <c r="EO129" s="15"/>
      <c r="EP129" s="15"/>
      <c r="EQ129" s="15"/>
      <c r="ER129" s="15"/>
      <c r="ES129" s="15"/>
      <c r="ET129" s="15"/>
      <c r="EU129" s="15"/>
      <c r="EV129" s="15"/>
      <c r="EW129" s="15"/>
      <c r="EX129" s="15"/>
      <c r="EY129" s="15"/>
      <c r="EZ129" s="15"/>
      <c r="FA129" s="15"/>
      <c r="FB129" s="15"/>
      <c r="FC129" s="15"/>
      <c r="FD129" s="15"/>
      <c r="FE129" s="15"/>
      <c r="FF129" s="15"/>
      <c r="FG129" s="15"/>
      <c r="FH129" s="15"/>
      <c r="FI129" s="15"/>
      <c r="FJ129" s="15"/>
      <c r="FK129" s="15"/>
      <c r="FL129" s="15"/>
      <c r="FM129" s="15"/>
      <c r="FN129" s="15"/>
      <c r="FO129" s="15"/>
      <c r="FP129" s="15"/>
      <c r="FQ129" s="15"/>
      <c r="FR129" s="15"/>
      <c r="FS129" s="15"/>
      <c r="FT129" s="15"/>
      <c r="FU129" s="15"/>
      <c r="FV129" s="15"/>
      <c r="FW129" s="15"/>
      <c r="FX129" s="15"/>
      <c r="FY129" s="15"/>
      <c r="FZ129" s="15"/>
      <c r="GA129" s="15"/>
      <c r="GB129" s="15"/>
      <c r="GC129" s="15"/>
      <c r="GD129" s="15"/>
      <c r="GE129" s="15"/>
      <c r="GF129" s="15"/>
      <c r="GG129" s="15"/>
      <c r="GH129" s="15"/>
      <c r="GI129" s="15"/>
      <c r="GJ129" s="15"/>
      <c r="GK129" s="15"/>
      <c r="GL129" s="15"/>
      <c r="GM129" s="15"/>
      <c r="GN129" s="15"/>
      <c r="GO129" s="15"/>
      <c r="GP129" s="15"/>
      <c r="GQ129" s="15"/>
      <c r="GR129" s="15"/>
      <c r="GS129" s="15"/>
      <c r="GT129" s="15"/>
      <c r="GU129" s="15"/>
      <c r="GV129" s="15"/>
      <c r="GW129" s="15"/>
      <c r="GX129" s="15"/>
      <c r="GY129" s="15"/>
      <c r="GZ129" s="15"/>
      <c r="HA129" s="15"/>
      <c r="HB129" s="15"/>
      <c r="HC129" s="15"/>
      <c r="HD129" s="15"/>
      <c r="HE129" s="15"/>
      <c r="HF129" s="15"/>
      <c r="HG129" s="15"/>
      <c r="HH129" s="15"/>
      <c r="HI129" s="15"/>
      <c r="HJ129" s="15"/>
      <c r="HK129" s="15"/>
      <c r="HL129" s="15"/>
      <c r="HM129" s="15"/>
      <c r="HN129" s="15"/>
      <c r="HO129" s="15"/>
      <c r="HP129" s="15"/>
      <c r="HQ129" s="15"/>
      <c r="HR129" s="15"/>
      <c r="HS129" s="15"/>
      <c r="HT129" s="15"/>
      <c r="HU129" s="15"/>
      <c r="HV129" s="15"/>
      <c r="HW129" s="15"/>
      <c r="HX129" s="15"/>
      <c r="HY129" s="15"/>
      <c r="HZ129" s="15"/>
      <c r="IA129" s="15"/>
      <c r="IB129" s="15"/>
      <c r="IC129" s="15"/>
      <c r="ID129" s="15"/>
      <c r="IE129" s="15"/>
      <c r="IF129" s="15"/>
      <c r="IG129" s="15"/>
      <c r="IH129" s="15"/>
      <c r="II129" s="15"/>
      <c r="IJ129" s="15"/>
      <c r="IK129" s="15"/>
      <c r="IL129" s="15"/>
      <c r="IM129" s="15"/>
      <c r="IN129" s="15"/>
      <c r="IO129" s="15"/>
      <c r="IP129" s="15"/>
      <c r="IQ129" s="15"/>
      <c r="IR129" s="15"/>
      <c r="IS129" s="15"/>
      <c r="IT129" s="15"/>
      <c r="IU129" s="15"/>
      <c r="IV129" s="15"/>
      <c r="IW129" s="479"/>
      <c r="IX129" s="479"/>
      <c r="IY129" s="479"/>
    </row>
    <row r="130" spans="1:259" x14ac:dyDescent="0.3">
      <c r="A130" s="476"/>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c r="BI130" s="15"/>
      <c r="BJ130" s="15"/>
      <c r="BK130" s="15"/>
      <c r="BL130" s="15"/>
      <c r="BM130" s="15"/>
      <c r="BN130" s="15"/>
      <c r="BO130" s="15"/>
      <c r="BP130" s="15"/>
      <c r="BQ130" s="15"/>
      <c r="BR130" s="15"/>
      <c r="BS130" s="15"/>
      <c r="BT130" s="15"/>
      <c r="BU130" s="15"/>
      <c r="BV130" s="15"/>
      <c r="BW130" s="15"/>
      <c r="BX130" s="15"/>
      <c r="BY130" s="15"/>
      <c r="BZ130" s="15"/>
      <c r="CA130" s="15"/>
      <c r="CB130" s="15"/>
      <c r="CC130" s="15"/>
      <c r="CD130" s="15"/>
      <c r="CE130" s="15"/>
      <c r="CF130" s="15"/>
      <c r="CG130" s="15"/>
      <c r="CH130" s="15"/>
      <c r="CI130" s="15"/>
      <c r="CJ130" s="15"/>
      <c r="CK130" s="15"/>
      <c r="CL130" s="15"/>
      <c r="CM130" s="15"/>
      <c r="CN130" s="15"/>
      <c r="CO130" s="15"/>
      <c r="CP130" s="15"/>
      <c r="CQ130" s="15"/>
      <c r="CR130" s="15"/>
      <c r="CS130" s="15"/>
      <c r="CT130" s="15"/>
      <c r="CU130" s="15"/>
      <c r="CV130" s="15"/>
      <c r="CW130" s="15"/>
      <c r="CX130" s="15"/>
      <c r="CY130" s="15"/>
      <c r="CZ130" s="15"/>
      <c r="DA130" s="15"/>
      <c r="DB130" s="15"/>
      <c r="DC130" s="15"/>
      <c r="DD130" s="15"/>
      <c r="DE130" s="15"/>
      <c r="DF130" s="15"/>
      <c r="DG130" s="15"/>
      <c r="DH130" s="15"/>
      <c r="DI130" s="15"/>
      <c r="DJ130" s="15"/>
      <c r="DK130" s="15"/>
      <c r="DL130" s="15"/>
      <c r="DM130" s="15"/>
      <c r="DN130" s="15"/>
      <c r="DO130" s="15"/>
      <c r="DP130" s="15"/>
      <c r="DQ130" s="15"/>
      <c r="DR130" s="15"/>
      <c r="DS130" s="15"/>
      <c r="DT130" s="15"/>
      <c r="DU130" s="15"/>
      <c r="DV130" s="15"/>
      <c r="DW130" s="15"/>
      <c r="DX130" s="15"/>
      <c r="DY130" s="15"/>
      <c r="DZ130" s="15"/>
      <c r="EA130" s="15"/>
      <c r="EB130" s="15"/>
      <c r="EC130" s="15"/>
      <c r="ED130" s="15"/>
      <c r="EE130" s="15"/>
      <c r="EF130" s="15"/>
      <c r="EG130" s="15"/>
      <c r="EH130" s="15"/>
      <c r="EI130" s="15"/>
      <c r="EJ130" s="15"/>
      <c r="EK130" s="15"/>
      <c r="EL130" s="15"/>
      <c r="EM130" s="15"/>
      <c r="EN130" s="15"/>
      <c r="EO130" s="15"/>
      <c r="EP130" s="15"/>
      <c r="EQ130" s="15"/>
      <c r="ER130" s="15"/>
      <c r="ES130" s="15"/>
      <c r="ET130" s="15"/>
      <c r="EU130" s="15"/>
      <c r="EV130" s="15"/>
      <c r="EW130" s="15"/>
      <c r="EX130" s="15"/>
      <c r="EY130" s="15"/>
      <c r="EZ130" s="15"/>
      <c r="FA130" s="15"/>
      <c r="FB130" s="15"/>
      <c r="FC130" s="15"/>
      <c r="FD130" s="15"/>
      <c r="FE130" s="15"/>
      <c r="FF130" s="15"/>
      <c r="FG130" s="15"/>
      <c r="FH130" s="15"/>
      <c r="FI130" s="15"/>
      <c r="FJ130" s="15"/>
      <c r="FK130" s="15"/>
      <c r="FL130" s="15"/>
      <c r="FM130" s="15"/>
      <c r="FN130" s="15"/>
      <c r="FO130" s="15"/>
      <c r="FP130" s="15"/>
      <c r="FQ130" s="15"/>
      <c r="FR130" s="15"/>
      <c r="FS130" s="15"/>
      <c r="FT130" s="15"/>
      <c r="FU130" s="15"/>
      <c r="FV130" s="15"/>
      <c r="FW130" s="15"/>
      <c r="FX130" s="15"/>
      <c r="FY130" s="15"/>
      <c r="FZ130" s="15"/>
      <c r="GA130" s="15"/>
      <c r="GB130" s="15"/>
      <c r="GC130" s="15"/>
      <c r="GD130" s="15"/>
      <c r="GE130" s="15"/>
      <c r="GF130" s="15"/>
      <c r="GG130" s="15"/>
      <c r="GH130" s="15"/>
      <c r="GI130" s="15"/>
      <c r="GJ130" s="15"/>
      <c r="GK130" s="15"/>
      <c r="GL130" s="15"/>
      <c r="GM130" s="15"/>
      <c r="GN130" s="15"/>
      <c r="GO130" s="15"/>
      <c r="GP130" s="15"/>
      <c r="GQ130" s="15"/>
      <c r="GR130" s="15"/>
      <c r="GS130" s="15"/>
      <c r="GT130" s="15"/>
      <c r="GU130" s="15"/>
      <c r="GV130" s="15"/>
      <c r="GW130" s="15"/>
      <c r="GX130" s="15"/>
      <c r="GY130" s="15"/>
      <c r="GZ130" s="15"/>
      <c r="HA130" s="15"/>
      <c r="HB130" s="15"/>
      <c r="HC130" s="15"/>
      <c r="HD130" s="15"/>
      <c r="HE130" s="15"/>
      <c r="HF130" s="15"/>
      <c r="HG130" s="15"/>
      <c r="HH130" s="15"/>
      <c r="HI130" s="15"/>
      <c r="HJ130" s="15"/>
      <c r="HK130" s="15"/>
      <c r="HL130" s="15"/>
      <c r="HM130" s="15"/>
      <c r="HN130" s="15"/>
      <c r="HO130" s="15"/>
      <c r="HP130" s="15"/>
      <c r="HQ130" s="15"/>
      <c r="HR130" s="15"/>
      <c r="HS130" s="15"/>
      <c r="HT130" s="15"/>
      <c r="HU130" s="15"/>
      <c r="HV130" s="15"/>
      <c r="HW130" s="15"/>
      <c r="HX130" s="15"/>
      <c r="HY130" s="15"/>
      <c r="HZ130" s="15"/>
      <c r="IA130" s="15"/>
      <c r="IB130" s="15"/>
      <c r="IC130" s="15"/>
      <c r="ID130" s="15"/>
      <c r="IE130" s="15"/>
      <c r="IF130" s="15"/>
      <c r="IG130" s="15"/>
      <c r="IH130" s="15"/>
      <c r="II130" s="15"/>
      <c r="IJ130" s="15"/>
      <c r="IK130" s="15"/>
      <c r="IL130" s="15"/>
      <c r="IM130" s="15"/>
      <c r="IN130" s="15"/>
      <c r="IO130" s="15"/>
      <c r="IP130" s="15"/>
      <c r="IQ130" s="15"/>
      <c r="IR130" s="15"/>
      <c r="IS130" s="15"/>
      <c r="IT130" s="15"/>
      <c r="IU130" s="15"/>
      <c r="IV130" s="15"/>
      <c r="IW130" s="479"/>
      <c r="IX130" s="479"/>
      <c r="IY130" s="479"/>
    </row>
    <row r="131" spans="1:259" x14ac:dyDescent="0.3">
      <c r="A131" s="476"/>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c r="BI131" s="15"/>
      <c r="BJ131" s="15"/>
      <c r="BK131" s="15"/>
      <c r="BL131" s="15"/>
      <c r="BM131" s="15"/>
      <c r="BN131" s="15"/>
      <c r="BO131" s="15"/>
      <c r="BP131" s="15"/>
      <c r="BQ131" s="15"/>
      <c r="BR131" s="15"/>
      <c r="BS131" s="15"/>
      <c r="BT131" s="15"/>
      <c r="BU131" s="15"/>
      <c r="BV131" s="15"/>
      <c r="BW131" s="15"/>
      <c r="BX131" s="15"/>
      <c r="BY131" s="15"/>
      <c r="BZ131" s="15"/>
      <c r="CA131" s="15"/>
      <c r="CB131" s="15"/>
      <c r="CC131" s="15"/>
      <c r="CD131" s="15"/>
      <c r="CE131" s="15"/>
      <c r="CF131" s="15"/>
      <c r="CG131" s="15"/>
      <c r="CH131" s="15"/>
      <c r="CI131" s="15"/>
      <c r="CJ131" s="15"/>
      <c r="CK131" s="15"/>
      <c r="CL131" s="15"/>
      <c r="CM131" s="15"/>
      <c r="CN131" s="15"/>
      <c r="CO131" s="15"/>
      <c r="CP131" s="15"/>
      <c r="CQ131" s="15"/>
      <c r="CR131" s="15"/>
      <c r="CS131" s="15"/>
      <c r="CT131" s="15"/>
      <c r="CU131" s="15"/>
      <c r="CV131" s="15"/>
      <c r="CW131" s="15"/>
      <c r="CX131" s="15"/>
      <c r="CY131" s="15"/>
      <c r="CZ131" s="15"/>
      <c r="DA131" s="15"/>
      <c r="DB131" s="15"/>
      <c r="DC131" s="15"/>
      <c r="DD131" s="15"/>
      <c r="DE131" s="15"/>
      <c r="DF131" s="15"/>
      <c r="DG131" s="15"/>
      <c r="DH131" s="15"/>
      <c r="DI131" s="15"/>
      <c r="DJ131" s="15"/>
      <c r="DK131" s="15"/>
      <c r="DL131" s="15"/>
      <c r="DM131" s="15"/>
      <c r="DN131" s="15"/>
      <c r="DO131" s="15"/>
      <c r="DP131" s="15"/>
      <c r="DQ131" s="15"/>
      <c r="DR131" s="15"/>
      <c r="DS131" s="15"/>
      <c r="DT131" s="15"/>
      <c r="DU131" s="15"/>
      <c r="DV131" s="15"/>
      <c r="DW131" s="15"/>
      <c r="DX131" s="15"/>
      <c r="DY131" s="15"/>
      <c r="DZ131" s="15"/>
      <c r="EA131" s="15"/>
      <c r="EB131" s="15"/>
      <c r="EC131" s="15"/>
      <c r="ED131" s="15"/>
      <c r="EE131" s="15"/>
      <c r="EF131" s="15"/>
      <c r="EG131" s="15"/>
      <c r="EH131" s="15"/>
      <c r="EI131" s="15"/>
      <c r="EJ131" s="15"/>
      <c r="EK131" s="15"/>
      <c r="EL131" s="15"/>
      <c r="EM131" s="15"/>
      <c r="EN131" s="15"/>
      <c r="EO131" s="15"/>
      <c r="EP131" s="15"/>
      <c r="EQ131" s="15"/>
      <c r="ER131" s="15"/>
      <c r="ES131" s="15"/>
      <c r="ET131" s="15"/>
      <c r="EU131" s="15"/>
      <c r="EV131" s="15"/>
      <c r="EW131" s="15"/>
      <c r="EX131" s="15"/>
      <c r="EY131" s="15"/>
      <c r="EZ131" s="15"/>
      <c r="FA131" s="15"/>
      <c r="FB131" s="15"/>
      <c r="FC131" s="15"/>
      <c r="FD131" s="15"/>
      <c r="FE131" s="15"/>
      <c r="FF131" s="15"/>
      <c r="FG131" s="15"/>
      <c r="FH131" s="15"/>
      <c r="FI131" s="15"/>
      <c r="FJ131" s="15"/>
      <c r="FK131" s="15"/>
      <c r="FL131" s="15"/>
      <c r="FM131" s="15"/>
      <c r="FN131" s="15"/>
      <c r="FO131" s="15"/>
      <c r="FP131" s="15"/>
      <c r="FQ131" s="15"/>
      <c r="FR131" s="15"/>
      <c r="FS131" s="15"/>
      <c r="FT131" s="15"/>
      <c r="FU131" s="15"/>
      <c r="FV131" s="15"/>
      <c r="FW131" s="15"/>
      <c r="FX131" s="15"/>
      <c r="FY131" s="15"/>
      <c r="FZ131" s="15"/>
      <c r="GA131" s="15"/>
      <c r="GB131" s="15"/>
      <c r="GC131" s="15"/>
      <c r="GD131" s="15"/>
      <c r="GE131" s="15"/>
      <c r="GF131" s="15"/>
      <c r="GG131" s="15"/>
      <c r="GH131" s="15"/>
      <c r="GI131" s="15"/>
      <c r="GJ131" s="15"/>
      <c r="GK131" s="15"/>
      <c r="GL131" s="15"/>
      <c r="GM131" s="15"/>
      <c r="GN131" s="15"/>
      <c r="GO131" s="15"/>
      <c r="GP131" s="15"/>
      <c r="GQ131" s="15"/>
      <c r="GR131" s="15"/>
      <c r="GS131" s="15"/>
      <c r="GT131" s="15"/>
      <c r="GU131" s="15"/>
      <c r="GV131" s="15"/>
      <c r="GW131" s="15"/>
      <c r="GX131" s="15"/>
      <c r="GY131" s="15"/>
      <c r="GZ131" s="15"/>
      <c r="HA131" s="15"/>
      <c r="HB131" s="15"/>
      <c r="HC131" s="15"/>
      <c r="HD131" s="15"/>
      <c r="HE131" s="15"/>
      <c r="HF131" s="15"/>
      <c r="HG131" s="15"/>
      <c r="HH131" s="15"/>
      <c r="HI131" s="15"/>
      <c r="HJ131" s="15"/>
      <c r="HK131" s="15"/>
      <c r="HL131" s="15"/>
      <c r="HM131" s="15"/>
      <c r="HN131" s="15"/>
      <c r="HO131" s="15"/>
      <c r="HP131" s="15"/>
      <c r="HQ131" s="15"/>
      <c r="HR131" s="15"/>
      <c r="HS131" s="15"/>
      <c r="HT131" s="15"/>
      <c r="HU131" s="15"/>
      <c r="HV131" s="15"/>
      <c r="HW131" s="15"/>
      <c r="HX131" s="15"/>
      <c r="HY131" s="15"/>
      <c r="HZ131" s="15"/>
      <c r="IA131" s="15"/>
      <c r="IB131" s="15"/>
      <c r="IC131" s="15"/>
      <c r="ID131" s="15"/>
      <c r="IE131" s="15"/>
      <c r="IF131" s="15"/>
      <c r="IG131" s="15"/>
      <c r="IH131" s="15"/>
      <c r="II131" s="15"/>
      <c r="IJ131" s="15"/>
      <c r="IK131" s="15"/>
      <c r="IL131" s="15"/>
      <c r="IM131" s="15"/>
      <c r="IN131" s="15"/>
      <c r="IO131" s="15"/>
      <c r="IP131" s="15"/>
      <c r="IQ131" s="15"/>
      <c r="IR131" s="15"/>
      <c r="IS131" s="15"/>
      <c r="IT131" s="15"/>
      <c r="IU131" s="15"/>
      <c r="IV131" s="15"/>
      <c r="IW131" s="479"/>
      <c r="IX131" s="479"/>
      <c r="IY131" s="479"/>
    </row>
    <row r="132" spans="1:259" x14ac:dyDescent="0.3">
      <c r="A132" s="476"/>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c r="BK132" s="15"/>
      <c r="BL132" s="15"/>
      <c r="BM132" s="15"/>
      <c r="BN132" s="15"/>
      <c r="BO132" s="15"/>
      <c r="BP132" s="15"/>
      <c r="BQ132" s="15"/>
      <c r="BR132" s="15"/>
      <c r="BS132" s="15"/>
      <c r="BT132" s="15"/>
      <c r="BU132" s="15"/>
      <c r="BV132" s="15"/>
      <c r="BW132" s="15"/>
      <c r="BX132" s="15"/>
      <c r="BY132" s="15"/>
      <c r="BZ132" s="15"/>
      <c r="CA132" s="15"/>
      <c r="CB132" s="15"/>
      <c r="CC132" s="15"/>
      <c r="CD132" s="15"/>
      <c r="CE132" s="15"/>
      <c r="CF132" s="15"/>
      <c r="CG132" s="15"/>
      <c r="CH132" s="15"/>
      <c r="CI132" s="15"/>
      <c r="CJ132" s="15"/>
      <c r="CK132" s="15"/>
      <c r="CL132" s="15"/>
      <c r="CM132" s="15"/>
      <c r="CN132" s="15"/>
      <c r="CO132" s="15"/>
      <c r="CP132" s="15"/>
      <c r="CQ132" s="15"/>
      <c r="CR132" s="15"/>
      <c r="CS132" s="15"/>
      <c r="CT132" s="15"/>
      <c r="CU132" s="15"/>
      <c r="CV132" s="15"/>
      <c r="CW132" s="15"/>
      <c r="CX132" s="15"/>
      <c r="CY132" s="15"/>
      <c r="CZ132" s="15"/>
      <c r="DA132" s="15"/>
      <c r="DB132" s="15"/>
      <c r="DC132" s="15"/>
      <c r="DD132" s="15"/>
      <c r="DE132" s="15"/>
      <c r="DF132" s="15"/>
      <c r="DG132" s="15"/>
      <c r="DH132" s="15"/>
      <c r="DI132" s="15"/>
      <c r="DJ132" s="15"/>
      <c r="DK132" s="15"/>
      <c r="DL132" s="15"/>
      <c r="DM132" s="15"/>
      <c r="DN132" s="15"/>
      <c r="DO132" s="15"/>
      <c r="DP132" s="15"/>
      <c r="DQ132" s="15"/>
      <c r="DR132" s="15"/>
      <c r="DS132" s="15"/>
      <c r="DT132" s="15"/>
      <c r="DU132" s="15"/>
      <c r="DV132" s="15"/>
      <c r="DW132" s="15"/>
      <c r="DX132" s="15"/>
      <c r="DY132" s="15"/>
      <c r="DZ132" s="15"/>
      <c r="EA132" s="15"/>
      <c r="EB132" s="15"/>
      <c r="EC132" s="15"/>
      <c r="ED132" s="15"/>
      <c r="EE132" s="15"/>
      <c r="EF132" s="15"/>
      <c r="EG132" s="15"/>
      <c r="EH132" s="15"/>
      <c r="EI132" s="15"/>
      <c r="EJ132" s="15"/>
      <c r="EK132" s="15"/>
      <c r="EL132" s="15"/>
      <c r="EM132" s="15"/>
      <c r="EN132" s="15"/>
      <c r="EO132" s="15"/>
      <c r="EP132" s="15"/>
      <c r="EQ132" s="15"/>
      <c r="ER132" s="15"/>
      <c r="ES132" s="15"/>
      <c r="ET132" s="15"/>
      <c r="EU132" s="15"/>
      <c r="EV132" s="15"/>
      <c r="EW132" s="15"/>
      <c r="EX132" s="15"/>
      <c r="EY132" s="15"/>
      <c r="EZ132" s="15"/>
      <c r="FA132" s="15"/>
      <c r="FB132" s="15"/>
      <c r="FC132" s="15"/>
      <c r="FD132" s="15"/>
      <c r="FE132" s="15"/>
      <c r="FF132" s="15"/>
      <c r="FG132" s="15"/>
      <c r="FH132" s="15"/>
      <c r="FI132" s="15"/>
      <c r="FJ132" s="15"/>
      <c r="FK132" s="15"/>
      <c r="FL132" s="15"/>
      <c r="FM132" s="15"/>
      <c r="FN132" s="15"/>
      <c r="FO132" s="15"/>
      <c r="FP132" s="15"/>
      <c r="FQ132" s="15"/>
      <c r="FR132" s="15"/>
      <c r="FS132" s="15"/>
      <c r="FT132" s="15"/>
      <c r="FU132" s="15"/>
      <c r="FV132" s="15"/>
      <c r="FW132" s="15"/>
      <c r="FX132" s="15"/>
      <c r="FY132" s="15"/>
      <c r="FZ132" s="15"/>
      <c r="GA132" s="15"/>
      <c r="GB132" s="15"/>
      <c r="GC132" s="15"/>
      <c r="GD132" s="15"/>
      <c r="GE132" s="15"/>
      <c r="GF132" s="15"/>
      <c r="GG132" s="15"/>
      <c r="GH132" s="15"/>
      <c r="GI132" s="15"/>
      <c r="GJ132" s="15"/>
      <c r="GK132" s="15"/>
      <c r="GL132" s="15"/>
      <c r="GM132" s="15"/>
      <c r="GN132" s="15"/>
      <c r="GO132" s="15"/>
      <c r="GP132" s="15"/>
      <c r="GQ132" s="15"/>
      <c r="GR132" s="15"/>
      <c r="GS132" s="15"/>
      <c r="GT132" s="15"/>
      <c r="GU132" s="15"/>
      <c r="GV132" s="15"/>
      <c r="GW132" s="15"/>
      <c r="GX132" s="15"/>
      <c r="GY132" s="15"/>
      <c r="GZ132" s="15"/>
      <c r="HA132" s="15"/>
      <c r="HB132" s="15"/>
      <c r="HC132" s="15"/>
      <c r="HD132" s="15"/>
      <c r="HE132" s="15"/>
      <c r="HF132" s="15"/>
      <c r="HG132" s="15"/>
      <c r="HH132" s="15"/>
      <c r="HI132" s="15"/>
      <c r="HJ132" s="15"/>
      <c r="HK132" s="15"/>
      <c r="HL132" s="15"/>
      <c r="HM132" s="15"/>
      <c r="HN132" s="15"/>
      <c r="HO132" s="15"/>
      <c r="HP132" s="15"/>
      <c r="HQ132" s="15"/>
      <c r="HR132" s="15"/>
      <c r="HS132" s="15"/>
      <c r="HT132" s="15"/>
      <c r="HU132" s="15"/>
      <c r="HV132" s="15"/>
      <c r="HW132" s="15"/>
      <c r="HX132" s="15"/>
      <c r="HY132" s="15"/>
      <c r="HZ132" s="15"/>
      <c r="IA132" s="15"/>
      <c r="IB132" s="15"/>
      <c r="IC132" s="15"/>
      <c r="ID132" s="15"/>
      <c r="IE132" s="15"/>
      <c r="IF132" s="15"/>
      <c r="IG132" s="15"/>
      <c r="IH132" s="15"/>
      <c r="II132" s="15"/>
      <c r="IJ132" s="15"/>
      <c r="IK132" s="15"/>
      <c r="IL132" s="15"/>
      <c r="IM132" s="15"/>
      <c r="IN132" s="15"/>
      <c r="IO132" s="15"/>
      <c r="IP132" s="15"/>
      <c r="IQ132" s="15"/>
      <c r="IR132" s="15"/>
      <c r="IS132" s="15"/>
      <c r="IT132" s="15"/>
      <c r="IU132" s="15"/>
      <c r="IV132" s="15"/>
      <c r="IW132" s="479"/>
      <c r="IX132" s="479"/>
      <c r="IY132" s="479"/>
    </row>
    <row r="133" spans="1:259" x14ac:dyDescent="0.3">
      <c r="A133" s="476"/>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c r="BH133" s="15"/>
      <c r="BI133" s="15"/>
      <c r="BJ133" s="15"/>
      <c r="BK133" s="15"/>
      <c r="BL133" s="15"/>
      <c r="BM133" s="15"/>
      <c r="BN133" s="15"/>
      <c r="BO133" s="15"/>
      <c r="BP133" s="15"/>
      <c r="BQ133" s="15"/>
      <c r="BR133" s="15"/>
      <c r="BS133" s="15"/>
      <c r="BT133" s="15"/>
      <c r="BU133" s="15"/>
      <c r="BV133" s="15"/>
      <c r="BW133" s="15"/>
      <c r="BX133" s="15"/>
      <c r="BY133" s="15"/>
      <c r="BZ133" s="15"/>
      <c r="CA133" s="15"/>
      <c r="CB133" s="15"/>
      <c r="CC133" s="15"/>
      <c r="CD133" s="15"/>
      <c r="CE133" s="15"/>
      <c r="CF133" s="15"/>
      <c r="CG133" s="15"/>
      <c r="CH133" s="15"/>
      <c r="CI133" s="15"/>
      <c r="CJ133" s="15"/>
      <c r="CK133" s="15"/>
      <c r="CL133" s="15"/>
      <c r="CM133" s="15"/>
      <c r="CN133" s="15"/>
      <c r="CO133" s="15"/>
      <c r="CP133" s="15"/>
      <c r="CQ133" s="15"/>
      <c r="CR133" s="15"/>
      <c r="CS133" s="15"/>
      <c r="CT133" s="15"/>
      <c r="CU133" s="15"/>
      <c r="CV133" s="15"/>
      <c r="CW133" s="15"/>
      <c r="CX133" s="15"/>
      <c r="CY133" s="15"/>
      <c r="CZ133" s="15"/>
      <c r="DA133" s="15"/>
      <c r="DB133" s="15"/>
      <c r="DC133" s="15"/>
      <c r="DD133" s="15"/>
      <c r="DE133" s="15"/>
      <c r="DF133" s="15"/>
      <c r="DG133" s="15"/>
      <c r="DH133" s="15"/>
      <c r="DI133" s="15"/>
      <c r="DJ133" s="15"/>
      <c r="DK133" s="15"/>
      <c r="DL133" s="15"/>
      <c r="DM133" s="15"/>
      <c r="DN133" s="15"/>
      <c r="DO133" s="15"/>
      <c r="DP133" s="15"/>
      <c r="DQ133" s="15"/>
      <c r="DR133" s="15"/>
      <c r="DS133" s="15"/>
      <c r="DT133" s="15"/>
      <c r="DU133" s="15"/>
      <c r="DV133" s="15"/>
      <c r="DW133" s="15"/>
      <c r="DX133" s="15"/>
      <c r="DY133" s="15"/>
      <c r="DZ133" s="15"/>
      <c r="EA133" s="15"/>
      <c r="EB133" s="15"/>
      <c r="EC133" s="15"/>
      <c r="ED133" s="15"/>
      <c r="EE133" s="15"/>
      <c r="EF133" s="15"/>
      <c r="EG133" s="15"/>
      <c r="EH133" s="15"/>
      <c r="EI133" s="15"/>
      <c r="EJ133" s="15"/>
      <c r="EK133" s="15"/>
      <c r="EL133" s="15"/>
      <c r="EM133" s="15"/>
      <c r="EN133" s="15"/>
      <c r="EO133" s="15"/>
      <c r="EP133" s="15"/>
      <c r="EQ133" s="15"/>
      <c r="ER133" s="15"/>
      <c r="ES133" s="15"/>
      <c r="ET133" s="15"/>
      <c r="EU133" s="15"/>
      <c r="EV133" s="15"/>
      <c r="EW133" s="15"/>
      <c r="EX133" s="15"/>
      <c r="EY133" s="15"/>
      <c r="EZ133" s="15"/>
      <c r="FA133" s="15"/>
      <c r="FB133" s="15"/>
      <c r="FC133" s="15"/>
      <c r="FD133" s="15"/>
      <c r="FE133" s="15"/>
      <c r="FF133" s="15"/>
      <c r="FG133" s="15"/>
      <c r="FH133" s="15"/>
      <c r="FI133" s="15"/>
      <c r="FJ133" s="15"/>
      <c r="FK133" s="15"/>
      <c r="FL133" s="15"/>
      <c r="FM133" s="15"/>
      <c r="FN133" s="15"/>
      <c r="FO133" s="15"/>
      <c r="FP133" s="15"/>
      <c r="FQ133" s="15"/>
      <c r="FR133" s="15"/>
      <c r="FS133" s="15"/>
      <c r="FT133" s="15"/>
      <c r="FU133" s="15"/>
      <c r="FV133" s="15"/>
      <c r="FW133" s="15"/>
      <c r="FX133" s="15"/>
      <c r="FY133" s="15"/>
      <c r="FZ133" s="15"/>
      <c r="GA133" s="15"/>
      <c r="GB133" s="15"/>
      <c r="GC133" s="15"/>
      <c r="GD133" s="15"/>
      <c r="GE133" s="15"/>
      <c r="GF133" s="15"/>
      <c r="GG133" s="15"/>
      <c r="GH133" s="15"/>
      <c r="GI133" s="15"/>
      <c r="GJ133" s="15"/>
      <c r="GK133" s="15"/>
      <c r="GL133" s="15"/>
      <c r="GM133" s="15"/>
      <c r="GN133" s="15"/>
      <c r="GO133" s="15"/>
      <c r="GP133" s="15"/>
      <c r="GQ133" s="15"/>
      <c r="GR133" s="15"/>
      <c r="GS133" s="15"/>
      <c r="GT133" s="15"/>
      <c r="GU133" s="15"/>
      <c r="GV133" s="15"/>
      <c r="GW133" s="15"/>
      <c r="GX133" s="15"/>
      <c r="GY133" s="15"/>
      <c r="GZ133" s="15"/>
      <c r="HA133" s="15"/>
      <c r="HB133" s="15"/>
      <c r="HC133" s="15"/>
      <c r="HD133" s="15"/>
      <c r="HE133" s="15"/>
      <c r="HF133" s="15"/>
      <c r="HG133" s="15"/>
      <c r="HH133" s="15"/>
      <c r="HI133" s="15"/>
      <c r="HJ133" s="15"/>
      <c r="HK133" s="15"/>
      <c r="HL133" s="15"/>
      <c r="HM133" s="15"/>
      <c r="HN133" s="15"/>
      <c r="HO133" s="15"/>
      <c r="HP133" s="15"/>
      <c r="HQ133" s="15"/>
      <c r="HR133" s="15"/>
      <c r="HS133" s="15"/>
      <c r="HT133" s="15"/>
      <c r="HU133" s="15"/>
      <c r="HV133" s="15"/>
      <c r="HW133" s="15"/>
      <c r="HX133" s="15"/>
      <c r="HY133" s="15"/>
      <c r="HZ133" s="15"/>
      <c r="IA133" s="15"/>
      <c r="IB133" s="15"/>
      <c r="IC133" s="15"/>
      <c r="ID133" s="15"/>
      <c r="IE133" s="15"/>
      <c r="IF133" s="15"/>
      <c r="IG133" s="15"/>
      <c r="IH133" s="15"/>
      <c r="II133" s="15"/>
      <c r="IJ133" s="15"/>
      <c r="IK133" s="15"/>
      <c r="IL133" s="15"/>
      <c r="IM133" s="15"/>
      <c r="IN133" s="15"/>
      <c r="IO133" s="15"/>
      <c r="IP133" s="15"/>
      <c r="IQ133" s="15"/>
      <c r="IR133" s="15"/>
      <c r="IS133" s="15"/>
      <c r="IT133" s="15"/>
      <c r="IU133" s="15"/>
      <c r="IV133" s="15"/>
      <c r="IW133" s="479"/>
      <c r="IX133" s="479"/>
      <c r="IY133" s="479"/>
    </row>
    <row r="134" spans="1:259" x14ac:dyDescent="0.3">
      <c r="A134" s="476"/>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c r="BK134" s="15"/>
      <c r="BL134" s="15"/>
      <c r="BM134" s="15"/>
      <c r="BN134" s="15"/>
      <c r="BO134" s="15"/>
      <c r="BP134" s="15"/>
      <c r="BQ134" s="15"/>
      <c r="BR134" s="15"/>
      <c r="BS134" s="15"/>
      <c r="BT134" s="15"/>
      <c r="BU134" s="15"/>
      <c r="BV134" s="15"/>
      <c r="BW134" s="15"/>
      <c r="BX134" s="15"/>
      <c r="BY134" s="15"/>
      <c r="BZ134" s="15"/>
      <c r="CA134" s="15"/>
      <c r="CB134" s="15"/>
      <c r="CC134" s="15"/>
      <c r="CD134" s="15"/>
      <c r="CE134" s="15"/>
      <c r="CF134" s="15"/>
      <c r="CG134" s="15"/>
      <c r="CH134" s="15"/>
      <c r="CI134" s="15"/>
      <c r="CJ134" s="15"/>
      <c r="CK134" s="15"/>
      <c r="CL134" s="15"/>
      <c r="CM134" s="15"/>
      <c r="CN134" s="15"/>
      <c r="CO134" s="15"/>
      <c r="CP134" s="15"/>
      <c r="CQ134" s="15"/>
      <c r="CR134" s="15"/>
      <c r="CS134" s="15"/>
      <c r="CT134" s="15"/>
      <c r="CU134" s="15"/>
      <c r="CV134" s="15"/>
      <c r="CW134" s="15"/>
      <c r="CX134" s="15"/>
      <c r="CY134" s="15"/>
      <c r="CZ134" s="15"/>
      <c r="DA134" s="15"/>
      <c r="DB134" s="15"/>
      <c r="DC134" s="15"/>
      <c r="DD134" s="15"/>
      <c r="DE134" s="15"/>
      <c r="DF134" s="15"/>
      <c r="DG134" s="15"/>
      <c r="DH134" s="15"/>
      <c r="DI134" s="15"/>
      <c r="DJ134" s="15"/>
      <c r="DK134" s="15"/>
      <c r="DL134" s="15"/>
      <c r="DM134" s="15"/>
      <c r="DN134" s="15"/>
      <c r="DO134" s="15"/>
      <c r="DP134" s="15"/>
      <c r="DQ134" s="15"/>
      <c r="DR134" s="15"/>
      <c r="DS134" s="15"/>
      <c r="DT134" s="15"/>
      <c r="DU134" s="15"/>
      <c r="DV134" s="15"/>
      <c r="DW134" s="15"/>
      <c r="DX134" s="15"/>
      <c r="DY134" s="15"/>
      <c r="DZ134" s="15"/>
      <c r="EA134" s="15"/>
      <c r="EB134" s="15"/>
      <c r="EC134" s="15"/>
      <c r="ED134" s="15"/>
      <c r="EE134" s="15"/>
      <c r="EF134" s="15"/>
      <c r="EG134" s="15"/>
      <c r="EH134" s="15"/>
      <c r="EI134" s="15"/>
      <c r="EJ134" s="15"/>
      <c r="EK134" s="15"/>
      <c r="EL134" s="15"/>
      <c r="EM134" s="15"/>
      <c r="EN134" s="15"/>
      <c r="EO134" s="15"/>
      <c r="EP134" s="15"/>
      <c r="EQ134" s="15"/>
      <c r="ER134" s="15"/>
      <c r="ES134" s="15"/>
      <c r="ET134" s="15"/>
      <c r="EU134" s="15"/>
      <c r="EV134" s="15"/>
      <c r="EW134" s="15"/>
      <c r="EX134" s="15"/>
      <c r="EY134" s="15"/>
      <c r="EZ134" s="15"/>
      <c r="FA134" s="15"/>
      <c r="FB134" s="15"/>
      <c r="FC134" s="15"/>
      <c r="FD134" s="15"/>
      <c r="FE134" s="15"/>
      <c r="FF134" s="15"/>
      <c r="FG134" s="15"/>
      <c r="FH134" s="15"/>
      <c r="FI134" s="15"/>
      <c r="FJ134" s="15"/>
      <c r="FK134" s="15"/>
      <c r="FL134" s="15"/>
      <c r="FM134" s="15"/>
      <c r="FN134" s="15"/>
      <c r="FO134" s="15"/>
      <c r="FP134" s="15"/>
      <c r="FQ134" s="15"/>
      <c r="FR134" s="15"/>
      <c r="FS134" s="15"/>
      <c r="FT134" s="15"/>
      <c r="FU134" s="15"/>
      <c r="FV134" s="15"/>
      <c r="FW134" s="15"/>
      <c r="FX134" s="15"/>
      <c r="FY134" s="15"/>
      <c r="FZ134" s="15"/>
      <c r="GA134" s="15"/>
      <c r="GB134" s="15"/>
      <c r="GC134" s="15"/>
      <c r="GD134" s="15"/>
      <c r="GE134" s="15"/>
      <c r="GF134" s="15"/>
      <c r="GG134" s="15"/>
      <c r="GH134" s="15"/>
      <c r="GI134" s="15"/>
      <c r="GJ134" s="15"/>
      <c r="GK134" s="15"/>
      <c r="GL134" s="15"/>
      <c r="GM134" s="15"/>
      <c r="GN134" s="15"/>
      <c r="GO134" s="15"/>
      <c r="GP134" s="15"/>
      <c r="GQ134" s="15"/>
      <c r="GR134" s="15"/>
      <c r="GS134" s="15"/>
      <c r="GT134" s="15"/>
      <c r="GU134" s="15"/>
      <c r="GV134" s="15"/>
      <c r="GW134" s="15"/>
      <c r="GX134" s="15"/>
      <c r="GY134" s="15"/>
      <c r="GZ134" s="15"/>
      <c r="HA134" s="15"/>
      <c r="HB134" s="15"/>
      <c r="HC134" s="15"/>
      <c r="HD134" s="15"/>
      <c r="HE134" s="15"/>
      <c r="HF134" s="15"/>
      <c r="HG134" s="15"/>
      <c r="HH134" s="15"/>
      <c r="HI134" s="15"/>
      <c r="HJ134" s="15"/>
      <c r="HK134" s="15"/>
      <c r="HL134" s="15"/>
      <c r="HM134" s="15"/>
      <c r="HN134" s="15"/>
      <c r="HO134" s="15"/>
      <c r="HP134" s="15"/>
      <c r="HQ134" s="15"/>
      <c r="HR134" s="15"/>
      <c r="HS134" s="15"/>
      <c r="HT134" s="15"/>
      <c r="HU134" s="15"/>
      <c r="HV134" s="15"/>
      <c r="HW134" s="15"/>
      <c r="HX134" s="15"/>
      <c r="HY134" s="15"/>
      <c r="HZ134" s="15"/>
      <c r="IA134" s="15"/>
      <c r="IB134" s="15"/>
      <c r="IC134" s="15"/>
      <c r="ID134" s="15"/>
      <c r="IE134" s="15"/>
      <c r="IF134" s="15"/>
      <c r="IG134" s="15"/>
      <c r="IH134" s="15"/>
      <c r="II134" s="15"/>
      <c r="IJ134" s="15"/>
      <c r="IK134" s="15"/>
      <c r="IL134" s="15"/>
      <c r="IM134" s="15"/>
      <c r="IN134" s="15"/>
      <c r="IO134" s="15"/>
      <c r="IP134" s="15"/>
      <c r="IQ134" s="15"/>
      <c r="IR134" s="15"/>
      <c r="IS134" s="15"/>
      <c r="IT134" s="15"/>
      <c r="IU134" s="15"/>
      <c r="IV134" s="15"/>
      <c r="IW134" s="479"/>
      <c r="IX134" s="479"/>
      <c r="IY134" s="479"/>
    </row>
    <row r="135" spans="1:259" x14ac:dyDescent="0.3">
      <c r="A135" s="4"/>
      <c r="B135" s="477"/>
      <c r="C135" s="477"/>
      <c r="D135" s="477"/>
      <c r="E135" s="477"/>
      <c r="F135" s="477"/>
      <c r="G135" s="477"/>
      <c r="H135" s="477"/>
      <c r="I135" s="477"/>
      <c r="J135" s="477"/>
      <c r="K135" s="477"/>
      <c r="L135" s="477"/>
      <c r="M135" s="477"/>
      <c r="N135" s="477"/>
      <c r="O135" s="477"/>
      <c r="P135" s="477"/>
      <c r="Q135" s="477"/>
      <c r="R135" s="477"/>
      <c r="S135" s="477"/>
      <c r="T135" s="477"/>
      <c r="U135" s="477"/>
      <c r="V135" s="477"/>
      <c r="W135" s="477"/>
      <c r="X135" s="477"/>
      <c r="Y135" s="477"/>
      <c r="Z135" s="477"/>
      <c r="AA135" s="477"/>
      <c r="AB135" s="477"/>
      <c r="AC135" s="477"/>
      <c r="AD135" s="477"/>
      <c r="AE135" s="477"/>
      <c r="AF135" s="477"/>
      <c r="AG135" s="477"/>
      <c r="AH135" s="477"/>
      <c r="AI135" s="477"/>
      <c r="AJ135" s="477"/>
      <c r="AK135" s="477"/>
      <c r="AL135" s="477"/>
      <c r="AM135" s="477"/>
      <c r="AN135" s="477"/>
      <c r="AO135" s="477"/>
      <c r="AP135" s="477"/>
      <c r="AQ135" s="477"/>
      <c r="AR135" s="477"/>
      <c r="AS135" s="477"/>
      <c r="AT135" s="477"/>
      <c r="AU135" s="477"/>
      <c r="AV135" s="477"/>
      <c r="AW135" s="477"/>
      <c r="AX135" s="477"/>
      <c r="AY135" s="477"/>
      <c r="AZ135" s="477"/>
      <c r="BA135" s="477"/>
      <c r="BB135" s="477"/>
      <c r="BC135" s="477"/>
      <c r="BD135" s="477"/>
      <c r="BE135" s="477"/>
      <c r="BF135" s="477"/>
      <c r="BG135" s="477"/>
      <c r="BH135" s="477"/>
      <c r="BI135" s="477"/>
      <c r="BJ135" s="477"/>
      <c r="BK135" s="477"/>
      <c r="BL135" s="477"/>
      <c r="BM135" s="477"/>
      <c r="BN135" s="477"/>
      <c r="BO135" s="477"/>
      <c r="BP135" s="477"/>
      <c r="BQ135" s="477"/>
      <c r="BR135" s="477"/>
      <c r="BS135" s="477"/>
      <c r="BT135" s="477"/>
      <c r="BU135" s="477"/>
      <c r="BV135" s="477"/>
      <c r="BW135" s="477"/>
      <c r="BX135" s="477"/>
      <c r="BY135" s="477"/>
      <c r="BZ135" s="477"/>
      <c r="CA135" s="477"/>
      <c r="CB135" s="477"/>
      <c r="CC135" s="477"/>
      <c r="CD135" s="477"/>
      <c r="CE135" s="477"/>
      <c r="CF135" s="477"/>
      <c r="CG135" s="477"/>
      <c r="CH135" s="477"/>
      <c r="CI135" s="477"/>
      <c r="CJ135" s="477"/>
      <c r="CK135" s="477"/>
      <c r="CL135" s="477"/>
      <c r="CM135" s="477"/>
      <c r="CN135" s="477"/>
      <c r="CO135" s="477"/>
      <c r="CP135" s="477"/>
      <c r="CQ135" s="477"/>
      <c r="CR135" s="477"/>
      <c r="CS135" s="477"/>
      <c r="CT135" s="477"/>
      <c r="CU135" s="477"/>
      <c r="CV135" s="477"/>
      <c r="CW135" s="477"/>
      <c r="CX135" s="477"/>
      <c r="CY135" s="477"/>
      <c r="CZ135" s="477"/>
      <c r="DA135" s="477"/>
      <c r="DB135" s="477"/>
      <c r="DC135" s="477"/>
      <c r="DD135" s="477"/>
      <c r="DE135" s="477"/>
      <c r="DF135" s="477"/>
      <c r="DG135" s="477"/>
      <c r="DH135" s="477"/>
      <c r="DI135" s="477"/>
      <c r="DJ135" s="477"/>
      <c r="DK135" s="477"/>
      <c r="DL135" s="477"/>
      <c r="DM135" s="477"/>
      <c r="DN135" s="477"/>
      <c r="DO135" s="477"/>
      <c r="DP135" s="477"/>
      <c r="DQ135" s="477"/>
      <c r="DR135" s="477"/>
      <c r="DS135" s="477"/>
      <c r="DT135" s="477"/>
      <c r="DU135" s="477"/>
      <c r="DV135" s="477"/>
      <c r="DW135" s="477"/>
      <c r="DX135" s="477"/>
      <c r="DY135" s="477"/>
      <c r="DZ135" s="477"/>
      <c r="EA135" s="477"/>
      <c r="EB135" s="477"/>
      <c r="EC135" s="477"/>
      <c r="ED135" s="477"/>
      <c r="EE135" s="477"/>
      <c r="EF135" s="477"/>
      <c r="EG135" s="477"/>
      <c r="EH135" s="477"/>
      <c r="EI135" s="477"/>
      <c r="EJ135" s="477"/>
      <c r="EK135" s="477"/>
      <c r="EL135" s="477"/>
      <c r="EM135" s="477"/>
      <c r="EN135" s="477"/>
      <c r="EO135" s="477"/>
      <c r="EP135" s="477"/>
      <c r="EQ135" s="477"/>
      <c r="ER135" s="477"/>
      <c r="ES135" s="477"/>
      <c r="ET135" s="477"/>
      <c r="EU135" s="477"/>
      <c r="EV135" s="477"/>
      <c r="EW135" s="477"/>
      <c r="EX135" s="477"/>
      <c r="EY135" s="477"/>
      <c r="EZ135" s="477"/>
      <c r="FA135" s="477"/>
      <c r="FB135" s="477"/>
      <c r="FC135" s="477"/>
      <c r="FD135" s="477"/>
      <c r="FE135" s="477"/>
      <c r="FF135" s="477"/>
      <c r="FG135" s="477"/>
      <c r="FH135" s="477"/>
      <c r="FI135" s="477"/>
      <c r="FJ135" s="477"/>
      <c r="FK135" s="477"/>
      <c r="FL135" s="477"/>
      <c r="FM135" s="477"/>
      <c r="FN135" s="477"/>
      <c r="FO135" s="477"/>
      <c r="FP135" s="477"/>
      <c r="FQ135" s="477"/>
      <c r="FR135" s="477"/>
      <c r="FS135" s="477"/>
      <c r="FT135" s="477"/>
      <c r="FU135" s="477"/>
      <c r="FV135" s="477"/>
      <c r="FW135" s="477"/>
      <c r="FX135" s="477"/>
      <c r="FY135" s="477"/>
      <c r="FZ135" s="477"/>
      <c r="GA135" s="477"/>
      <c r="GB135" s="477"/>
      <c r="GC135" s="477"/>
      <c r="GD135" s="477"/>
      <c r="GE135" s="477"/>
      <c r="GF135" s="477"/>
      <c r="GG135" s="477"/>
      <c r="GH135" s="477"/>
      <c r="GI135" s="477"/>
      <c r="GJ135" s="477"/>
      <c r="GK135" s="477"/>
      <c r="GL135" s="477"/>
      <c r="GM135" s="477"/>
      <c r="GN135" s="477"/>
      <c r="GO135" s="477"/>
      <c r="GP135" s="477"/>
      <c r="GQ135" s="477"/>
      <c r="GR135" s="477"/>
      <c r="GS135" s="477"/>
      <c r="GT135" s="477"/>
      <c r="GU135" s="477"/>
      <c r="GV135" s="477"/>
      <c r="GW135" s="477"/>
      <c r="GX135" s="477"/>
      <c r="GY135" s="477"/>
      <c r="GZ135" s="477"/>
      <c r="HA135" s="477"/>
      <c r="HB135" s="477"/>
      <c r="HC135" s="477"/>
      <c r="HD135" s="477"/>
      <c r="HE135" s="477"/>
      <c r="HF135" s="477"/>
      <c r="HG135" s="477"/>
      <c r="HH135" s="477"/>
      <c r="HI135" s="477"/>
      <c r="HJ135" s="477"/>
      <c r="HK135" s="477"/>
      <c r="HL135" s="477"/>
      <c r="HM135" s="477"/>
      <c r="HN135" s="477"/>
      <c r="HO135" s="477"/>
      <c r="HP135" s="477"/>
      <c r="HQ135" s="477"/>
      <c r="HR135" s="477"/>
      <c r="HS135" s="477"/>
      <c r="HT135" s="477"/>
      <c r="HU135" s="477"/>
      <c r="HV135" s="477"/>
      <c r="HW135" s="477"/>
      <c r="HX135" s="477"/>
      <c r="HY135" s="477"/>
      <c r="HZ135" s="477"/>
      <c r="IA135" s="477"/>
      <c r="IB135" s="477"/>
      <c r="IC135" s="477"/>
      <c r="ID135" s="477"/>
      <c r="IE135" s="477"/>
      <c r="IF135" s="477"/>
      <c r="IG135" s="477"/>
      <c r="IH135" s="477"/>
      <c r="II135" s="477"/>
      <c r="IJ135" s="477"/>
      <c r="IK135" s="477"/>
      <c r="IL135" s="477"/>
      <c r="IM135" s="477"/>
      <c r="IN135" s="477"/>
      <c r="IO135" s="477"/>
      <c r="IP135" s="477"/>
      <c r="IQ135" s="477"/>
      <c r="IR135" s="477"/>
      <c r="IS135" s="477"/>
      <c r="IT135" s="477"/>
      <c r="IU135" s="477"/>
      <c r="IV135" s="477"/>
      <c r="IW135" s="480"/>
      <c r="IX135" s="480"/>
      <c r="IY135" s="480"/>
    </row>
    <row r="136" spans="1:259" x14ac:dyDescent="0.3">
      <c r="A136" s="4"/>
      <c r="B136" s="477"/>
      <c r="C136" s="477"/>
      <c r="D136" s="477"/>
      <c r="E136" s="477"/>
      <c r="F136" s="477"/>
      <c r="G136" s="477"/>
      <c r="H136" s="477"/>
      <c r="I136" s="477"/>
      <c r="J136" s="477"/>
      <c r="K136" s="477"/>
      <c r="L136" s="477"/>
      <c r="M136" s="477"/>
      <c r="N136" s="477"/>
      <c r="O136" s="477"/>
      <c r="P136" s="477"/>
      <c r="Q136" s="477"/>
      <c r="R136" s="477"/>
      <c r="S136" s="477"/>
      <c r="T136" s="477"/>
      <c r="U136" s="477"/>
      <c r="V136" s="477"/>
      <c r="W136" s="477"/>
      <c r="X136" s="477"/>
      <c r="Y136" s="477"/>
      <c r="Z136" s="477"/>
      <c r="AA136" s="477"/>
      <c r="AB136" s="477"/>
      <c r="AC136" s="477"/>
      <c r="AD136" s="477"/>
      <c r="AE136" s="477"/>
      <c r="AF136" s="477"/>
      <c r="AG136" s="477"/>
      <c r="AH136" s="477"/>
      <c r="AI136" s="477"/>
      <c r="AJ136" s="477"/>
      <c r="AK136" s="477"/>
      <c r="AL136" s="477"/>
      <c r="AM136" s="477"/>
      <c r="AN136" s="477"/>
      <c r="AO136" s="477"/>
      <c r="AP136" s="477"/>
      <c r="AQ136" s="477"/>
      <c r="AR136" s="477"/>
      <c r="AS136" s="477"/>
      <c r="AT136" s="477"/>
      <c r="AU136" s="477"/>
      <c r="AV136" s="477"/>
      <c r="AW136" s="477"/>
      <c r="AX136" s="477"/>
      <c r="AY136" s="477"/>
      <c r="AZ136" s="477"/>
      <c r="BA136" s="477"/>
      <c r="BB136" s="477"/>
      <c r="BC136" s="477"/>
      <c r="BD136" s="477"/>
      <c r="BE136" s="477"/>
      <c r="BF136" s="477"/>
      <c r="BG136" s="477"/>
      <c r="BH136" s="477"/>
      <c r="BI136" s="477"/>
      <c r="BJ136" s="477"/>
      <c r="BK136" s="477"/>
      <c r="BL136" s="477"/>
      <c r="BM136" s="477"/>
      <c r="BN136" s="477"/>
      <c r="BO136" s="477"/>
      <c r="BP136" s="477"/>
      <c r="BQ136" s="477"/>
      <c r="BR136" s="477"/>
      <c r="BS136" s="477"/>
      <c r="BT136" s="477"/>
      <c r="BU136" s="477"/>
      <c r="BV136" s="477"/>
      <c r="BW136" s="477"/>
      <c r="BX136" s="477"/>
      <c r="BY136" s="477"/>
      <c r="BZ136" s="477"/>
      <c r="CA136" s="477"/>
      <c r="CB136" s="477"/>
      <c r="CC136" s="477"/>
      <c r="CD136" s="477"/>
      <c r="CE136" s="477"/>
      <c r="CF136" s="477"/>
      <c r="CG136" s="477"/>
      <c r="CH136" s="477"/>
      <c r="CI136" s="477"/>
      <c r="CJ136" s="477"/>
      <c r="CK136" s="477"/>
      <c r="CL136" s="477"/>
      <c r="CM136" s="477"/>
      <c r="CN136" s="477"/>
      <c r="CO136" s="477"/>
      <c r="CP136" s="477"/>
      <c r="CQ136" s="477"/>
      <c r="CR136" s="477"/>
      <c r="CS136" s="477"/>
      <c r="CT136" s="477"/>
      <c r="CU136" s="477"/>
      <c r="CV136" s="477"/>
      <c r="CW136" s="477"/>
      <c r="CX136" s="477"/>
      <c r="CY136" s="477"/>
      <c r="CZ136" s="477"/>
      <c r="DA136" s="477"/>
      <c r="DB136" s="477"/>
      <c r="DC136" s="477"/>
      <c r="DD136" s="477"/>
      <c r="DE136" s="477"/>
      <c r="DF136" s="477"/>
      <c r="DG136" s="477"/>
      <c r="DH136" s="477"/>
      <c r="DI136" s="477"/>
      <c r="DJ136" s="477"/>
      <c r="DK136" s="477"/>
      <c r="DL136" s="477"/>
      <c r="DM136" s="477"/>
      <c r="DN136" s="477"/>
      <c r="DO136" s="477"/>
      <c r="DP136" s="477"/>
      <c r="DQ136" s="477"/>
      <c r="DR136" s="477"/>
      <c r="DS136" s="477"/>
      <c r="DT136" s="477"/>
      <c r="DU136" s="477"/>
      <c r="DV136" s="477"/>
      <c r="DW136" s="477"/>
      <c r="DX136" s="477"/>
      <c r="DY136" s="477"/>
      <c r="DZ136" s="477"/>
      <c r="EA136" s="477"/>
      <c r="EB136" s="477"/>
      <c r="EC136" s="477"/>
      <c r="ED136" s="477"/>
      <c r="EE136" s="477"/>
      <c r="EF136" s="477"/>
      <c r="EG136" s="477"/>
      <c r="EH136" s="477"/>
      <c r="EI136" s="477"/>
      <c r="EJ136" s="477"/>
      <c r="EK136" s="477"/>
      <c r="EL136" s="477"/>
      <c r="EM136" s="477"/>
      <c r="EN136" s="477"/>
      <c r="EO136" s="477"/>
      <c r="EP136" s="477"/>
      <c r="EQ136" s="477"/>
      <c r="ER136" s="477"/>
      <c r="ES136" s="477"/>
      <c r="ET136" s="477"/>
      <c r="EU136" s="477"/>
      <c r="EV136" s="477"/>
      <c r="EW136" s="477"/>
      <c r="EX136" s="477"/>
      <c r="EY136" s="477"/>
      <c r="EZ136" s="477"/>
      <c r="FA136" s="477"/>
      <c r="FB136" s="477"/>
      <c r="FC136" s="477"/>
      <c r="FD136" s="477"/>
      <c r="FE136" s="477"/>
      <c r="FF136" s="477"/>
      <c r="FG136" s="477"/>
      <c r="FH136" s="477"/>
      <c r="FI136" s="477"/>
      <c r="FJ136" s="477"/>
      <c r="FK136" s="477"/>
      <c r="FL136" s="477"/>
      <c r="FM136" s="477"/>
      <c r="FN136" s="477"/>
      <c r="FO136" s="477"/>
      <c r="FP136" s="477"/>
      <c r="FQ136" s="477"/>
      <c r="FR136" s="477"/>
      <c r="FS136" s="477"/>
      <c r="FT136" s="477"/>
      <c r="FU136" s="477"/>
      <c r="FV136" s="477"/>
      <c r="FW136" s="477"/>
      <c r="FX136" s="477"/>
      <c r="FY136" s="477"/>
      <c r="FZ136" s="477"/>
      <c r="GA136" s="477"/>
      <c r="GB136" s="477"/>
      <c r="GC136" s="477"/>
      <c r="GD136" s="477"/>
      <c r="GE136" s="477"/>
      <c r="GF136" s="477"/>
      <c r="GG136" s="477"/>
      <c r="GH136" s="477"/>
      <c r="GI136" s="477"/>
      <c r="GJ136" s="477"/>
      <c r="GK136" s="477"/>
      <c r="GL136" s="477"/>
      <c r="GM136" s="477"/>
      <c r="GN136" s="477"/>
      <c r="GO136" s="477"/>
      <c r="GP136" s="477"/>
      <c r="GQ136" s="477"/>
      <c r="GR136" s="477"/>
      <c r="GS136" s="477"/>
      <c r="GT136" s="477"/>
      <c r="GU136" s="477"/>
      <c r="GV136" s="477"/>
      <c r="GW136" s="477"/>
      <c r="GX136" s="477"/>
      <c r="GY136" s="477"/>
      <c r="GZ136" s="477"/>
      <c r="HA136" s="477"/>
      <c r="HB136" s="477"/>
      <c r="HC136" s="477"/>
      <c r="HD136" s="477"/>
      <c r="HE136" s="477"/>
      <c r="HF136" s="477"/>
      <c r="HG136" s="477"/>
      <c r="HH136" s="477"/>
      <c r="HI136" s="477"/>
      <c r="HJ136" s="477"/>
      <c r="HK136" s="477"/>
      <c r="HL136" s="477"/>
      <c r="HM136" s="477"/>
      <c r="HN136" s="477"/>
      <c r="HO136" s="477"/>
      <c r="HP136" s="477"/>
      <c r="HQ136" s="477"/>
      <c r="HR136" s="477"/>
      <c r="HS136" s="477"/>
      <c r="HT136" s="477"/>
      <c r="HU136" s="477"/>
      <c r="HV136" s="477"/>
      <c r="HW136" s="477"/>
      <c r="HX136" s="477"/>
      <c r="HY136" s="477"/>
      <c r="HZ136" s="477"/>
      <c r="IA136" s="477"/>
      <c r="IB136" s="477"/>
      <c r="IC136" s="477"/>
      <c r="ID136" s="477"/>
      <c r="IE136" s="477"/>
      <c r="IF136" s="477"/>
      <c r="IG136" s="477"/>
      <c r="IH136" s="477"/>
      <c r="II136" s="477"/>
      <c r="IJ136" s="477"/>
      <c r="IK136" s="477"/>
      <c r="IL136" s="477"/>
      <c r="IM136" s="477"/>
      <c r="IN136" s="477"/>
      <c r="IO136" s="477"/>
      <c r="IP136" s="477"/>
      <c r="IQ136" s="477"/>
      <c r="IR136" s="477"/>
      <c r="IS136" s="477"/>
      <c r="IT136" s="477"/>
      <c r="IU136" s="477"/>
      <c r="IV136" s="477"/>
      <c r="IW136" s="480"/>
      <c r="IX136" s="480"/>
      <c r="IY136" s="480"/>
    </row>
    <row r="137" spans="1:259" x14ac:dyDescent="0.3">
      <c r="IN137"/>
    </row>
    <row r="138" spans="1:259" x14ac:dyDescent="0.3">
      <c r="A138" s="476"/>
      <c r="B138" s="481"/>
      <c r="C138" s="481"/>
      <c r="D138" s="481"/>
      <c r="E138" s="481"/>
      <c r="F138" s="481"/>
      <c r="G138" s="481"/>
      <c r="H138" s="481"/>
      <c r="I138" s="481"/>
      <c r="J138" s="481"/>
      <c r="K138" s="481"/>
      <c r="L138" s="481"/>
      <c r="M138" s="481"/>
      <c r="N138" s="481"/>
      <c r="O138" s="481"/>
      <c r="P138" s="481"/>
      <c r="Q138" s="481"/>
      <c r="R138" s="481"/>
      <c r="S138" s="481"/>
      <c r="T138" s="481"/>
      <c r="U138" s="481"/>
      <c r="V138" s="481"/>
      <c r="W138" s="481"/>
      <c r="X138" s="481"/>
      <c r="Y138" s="481"/>
      <c r="Z138" s="481"/>
      <c r="AA138" s="481"/>
      <c r="AB138" s="481"/>
      <c r="AC138" s="481"/>
      <c r="AD138" s="481"/>
      <c r="AE138" s="481"/>
      <c r="AF138" s="481"/>
      <c r="AG138" s="481"/>
      <c r="AH138" s="481"/>
      <c r="AI138" s="481"/>
      <c r="AJ138" s="481"/>
      <c r="AK138" s="481"/>
      <c r="AL138" s="481"/>
      <c r="AM138" s="481"/>
      <c r="AN138" s="481"/>
      <c r="AO138" s="481"/>
      <c r="AP138" s="481"/>
      <c r="AQ138" s="481"/>
      <c r="AR138" s="481"/>
      <c r="AS138" s="481"/>
      <c r="AT138" s="481"/>
      <c r="AU138" s="481"/>
      <c r="AV138" s="481"/>
      <c r="AW138" s="481"/>
      <c r="AX138" s="481"/>
      <c r="AY138" s="481"/>
      <c r="AZ138" s="481"/>
      <c r="BA138" s="481"/>
      <c r="BB138" s="481"/>
      <c r="BC138" s="481"/>
      <c r="BD138" s="481"/>
      <c r="BE138" s="481"/>
      <c r="BF138" s="481"/>
      <c r="BG138" s="481"/>
      <c r="BH138" s="481"/>
      <c r="BI138" s="481"/>
      <c r="BJ138" s="481"/>
      <c r="BK138" s="481"/>
      <c r="BL138" s="481"/>
      <c r="BM138" s="481"/>
      <c r="BN138" s="481"/>
      <c r="BO138" s="481"/>
      <c r="BP138" s="481"/>
      <c r="BQ138" s="481"/>
      <c r="BR138" s="481"/>
      <c r="BS138" s="481"/>
      <c r="BT138" s="481"/>
      <c r="BU138" s="481"/>
      <c r="BV138" s="481"/>
      <c r="BW138" s="481"/>
      <c r="BX138" s="481"/>
      <c r="BY138" s="481"/>
      <c r="BZ138" s="481"/>
      <c r="CA138" s="481"/>
      <c r="CB138" s="481"/>
      <c r="CC138" s="481"/>
      <c r="CD138" s="481"/>
      <c r="CE138" s="481"/>
      <c r="CF138" s="481"/>
      <c r="CG138" s="481"/>
      <c r="CH138" s="481"/>
      <c r="CI138" s="481"/>
      <c r="CJ138" s="481"/>
      <c r="CK138" s="481"/>
      <c r="CL138" s="481"/>
      <c r="CM138" s="481"/>
      <c r="CN138" s="481"/>
      <c r="CO138" s="481"/>
      <c r="CP138" s="481"/>
      <c r="CQ138" s="481"/>
      <c r="CR138" s="481"/>
      <c r="CS138" s="481"/>
      <c r="CT138" s="481"/>
      <c r="CU138" s="481"/>
      <c r="CV138" s="481"/>
      <c r="CW138" s="481"/>
      <c r="CX138" s="481"/>
      <c r="CY138" s="481"/>
      <c r="CZ138" s="481"/>
      <c r="DA138" s="481"/>
      <c r="DB138" s="481"/>
      <c r="DC138" s="481"/>
      <c r="DD138" s="481"/>
      <c r="DE138" s="481"/>
      <c r="DF138" s="481"/>
      <c r="DG138" s="481"/>
      <c r="DH138" s="481"/>
      <c r="DI138" s="481"/>
      <c r="DJ138" s="481"/>
      <c r="DK138" s="481"/>
      <c r="DL138" s="481"/>
      <c r="DM138" s="481"/>
      <c r="DN138" s="481"/>
      <c r="DO138" s="481"/>
      <c r="DP138" s="481"/>
      <c r="DQ138" s="481"/>
      <c r="DR138" s="481"/>
      <c r="DS138" s="481"/>
      <c r="DT138" s="481"/>
      <c r="DU138" s="481"/>
      <c r="DV138" s="481"/>
      <c r="DW138" s="481"/>
      <c r="DX138" s="481"/>
      <c r="DY138" s="481"/>
      <c r="DZ138" s="481"/>
      <c r="EA138" s="481"/>
      <c r="EB138" s="481"/>
      <c r="EC138" s="481"/>
      <c r="ED138" s="481"/>
      <c r="EE138" s="481"/>
      <c r="EF138" s="481"/>
      <c r="EG138" s="481"/>
      <c r="EH138" s="481"/>
      <c r="EI138" s="481"/>
      <c r="EJ138" s="481"/>
      <c r="EK138" s="481"/>
      <c r="EL138" s="481"/>
      <c r="EM138" s="481"/>
      <c r="EN138" s="481"/>
      <c r="EO138" s="481"/>
      <c r="EP138" s="481"/>
      <c r="EQ138" s="481"/>
      <c r="ER138" s="481"/>
      <c r="ES138" s="481"/>
      <c r="ET138" s="481"/>
      <c r="EU138" s="481"/>
      <c r="EV138" s="481"/>
      <c r="EW138" s="481"/>
      <c r="EX138" s="481"/>
      <c r="EY138" s="481"/>
      <c r="EZ138" s="481"/>
      <c r="FA138" s="481"/>
      <c r="FB138" s="481"/>
      <c r="FC138" s="481"/>
      <c r="FD138" s="481"/>
      <c r="FE138" s="481"/>
      <c r="FF138" s="481"/>
      <c r="FG138" s="481"/>
      <c r="FH138" s="481"/>
      <c r="FI138" s="481"/>
      <c r="FJ138" s="481"/>
      <c r="FK138" s="481"/>
      <c r="FL138" s="481"/>
      <c r="FM138" s="481"/>
      <c r="FN138" s="481"/>
      <c r="FO138" s="481"/>
      <c r="FP138" s="481"/>
      <c r="FQ138" s="481"/>
      <c r="FR138" s="481"/>
      <c r="FS138" s="481"/>
      <c r="FT138" s="481"/>
      <c r="FU138" s="481"/>
      <c r="FV138" s="481"/>
      <c r="FW138" s="481"/>
      <c r="FX138" s="481"/>
      <c r="FY138" s="481"/>
      <c r="FZ138" s="481"/>
      <c r="GA138" s="481"/>
      <c r="GB138" s="481"/>
      <c r="GC138" s="481"/>
      <c r="GD138" s="481"/>
      <c r="GE138" s="481"/>
      <c r="GF138" s="481"/>
      <c r="GG138" s="481"/>
      <c r="GH138" s="481"/>
      <c r="GI138" s="481"/>
      <c r="GJ138" s="481"/>
      <c r="GK138" s="481"/>
      <c r="GL138" s="481"/>
      <c r="GM138" s="481"/>
      <c r="GN138" s="481"/>
      <c r="GO138" s="481"/>
      <c r="GP138" s="481"/>
      <c r="GQ138" s="481"/>
      <c r="GR138" s="481"/>
      <c r="GS138" s="481"/>
      <c r="GT138" s="481"/>
      <c r="GU138" s="481"/>
      <c r="GV138" s="481"/>
      <c r="GW138" s="481"/>
      <c r="GX138" s="481"/>
      <c r="GY138" s="481"/>
      <c r="GZ138" s="481"/>
      <c r="HA138" s="481"/>
      <c r="HB138" s="481"/>
      <c r="HC138" s="481"/>
      <c r="HD138" s="481"/>
      <c r="HE138" s="481"/>
      <c r="HF138" s="481"/>
      <c r="HG138" s="481"/>
      <c r="HH138" s="481"/>
      <c r="HI138" s="481"/>
      <c r="HJ138" s="481"/>
      <c r="HK138" s="481"/>
      <c r="HL138" s="481"/>
      <c r="HM138" s="481"/>
      <c r="HN138" s="481"/>
      <c r="HO138" s="481"/>
      <c r="HP138" s="481"/>
      <c r="HQ138" s="481"/>
      <c r="HR138" s="481"/>
      <c r="HS138" s="481"/>
      <c r="HT138" s="481"/>
      <c r="HU138" s="481"/>
      <c r="HV138" s="481"/>
      <c r="HW138" s="481"/>
      <c r="HX138" s="481"/>
      <c r="HY138" s="481"/>
      <c r="HZ138" s="481"/>
      <c r="IA138" s="481"/>
      <c r="IB138" s="481"/>
      <c r="IC138" s="481"/>
      <c r="ID138" s="481"/>
      <c r="IE138" s="481"/>
      <c r="IF138" s="481"/>
      <c r="IG138" s="481"/>
      <c r="IH138" s="481"/>
      <c r="II138" s="481"/>
      <c r="IJ138" s="481"/>
      <c r="IK138" s="481"/>
      <c r="IL138" s="481"/>
      <c r="IM138" s="481"/>
      <c r="IN138" s="481"/>
      <c r="IO138" s="481"/>
      <c r="IP138" s="481"/>
      <c r="IQ138" s="481"/>
      <c r="IR138" s="481"/>
      <c r="IS138" s="481"/>
      <c r="IT138" s="481"/>
      <c r="IU138" s="481"/>
      <c r="IV138" s="481"/>
      <c r="IW138" s="481"/>
      <c r="IX138" s="481"/>
      <c r="IY138" s="481"/>
    </row>
    <row r="139" spans="1:259" ht="14.25" customHeight="1" x14ac:dyDescent="0.3">
      <c r="IM139" s="15"/>
      <c r="IN139" s="15"/>
      <c r="IO139" s="15"/>
      <c r="IP139" s="15"/>
      <c r="IQ139" s="15"/>
      <c r="IR139" s="15"/>
    </row>
    <row r="140" spans="1:259" x14ac:dyDescent="0.3">
      <c r="D140" s="482"/>
      <c r="E140" s="482"/>
      <c r="F140" s="482"/>
      <c r="G140" s="482"/>
      <c r="H140" s="482"/>
      <c r="I140" s="482"/>
      <c r="J140" s="482"/>
      <c r="K140" s="482"/>
      <c r="L140" s="482"/>
      <c r="M140" s="482"/>
      <c r="N140" s="482"/>
      <c r="O140" s="482"/>
      <c r="P140" s="482"/>
      <c r="Q140" s="482"/>
      <c r="R140" s="482"/>
      <c r="S140" s="482"/>
      <c r="T140" s="482"/>
      <c r="U140" s="482"/>
      <c r="V140" s="482"/>
      <c r="W140" s="482"/>
      <c r="X140" s="482"/>
      <c r="Y140" s="482"/>
      <c r="Z140" s="482"/>
      <c r="AA140" s="482"/>
      <c r="AB140" s="482"/>
      <c r="AC140" s="482"/>
      <c r="AD140" s="482"/>
      <c r="AE140" s="482"/>
      <c r="AF140" s="482"/>
      <c r="AG140" s="482"/>
      <c r="AH140" s="482"/>
      <c r="AI140" s="482"/>
      <c r="AJ140" s="482"/>
      <c r="AK140" s="482"/>
      <c r="AL140" s="482"/>
      <c r="AM140" s="482"/>
      <c r="AN140" s="482"/>
      <c r="AO140" s="482"/>
      <c r="AP140" s="482"/>
      <c r="AQ140" s="482"/>
      <c r="AR140" s="482"/>
      <c r="AS140" s="482"/>
      <c r="AT140" s="482"/>
      <c r="AU140" s="482"/>
      <c r="AV140" s="482"/>
      <c r="AW140" s="482"/>
      <c r="AX140" s="482"/>
      <c r="AY140" s="482"/>
      <c r="AZ140" s="482"/>
      <c r="BA140" s="482"/>
      <c r="BB140" s="482"/>
      <c r="BC140" s="482"/>
      <c r="BD140" s="482"/>
      <c r="BE140" s="482"/>
      <c r="BF140" s="482"/>
      <c r="BG140" s="482"/>
      <c r="BH140" s="482"/>
      <c r="BI140" s="482"/>
      <c r="BJ140" s="482"/>
      <c r="BK140" s="482"/>
      <c r="BL140" s="482"/>
      <c r="BM140" s="482"/>
      <c r="BN140" s="482"/>
      <c r="BO140" s="482"/>
      <c r="BP140" s="482"/>
      <c r="BQ140" s="482"/>
      <c r="BR140" s="482"/>
      <c r="BS140" s="482"/>
      <c r="BT140" s="482"/>
      <c r="BU140" s="482"/>
      <c r="BV140" s="482"/>
      <c r="BW140" s="482"/>
      <c r="BX140" s="482"/>
      <c r="BY140" s="482"/>
      <c r="BZ140" s="482"/>
      <c r="CA140" s="482"/>
      <c r="CB140" s="482"/>
      <c r="CC140" s="482"/>
      <c r="CD140" s="482"/>
      <c r="CE140" s="482"/>
      <c r="CF140" s="482"/>
      <c r="CG140" s="482"/>
      <c r="CH140" s="482"/>
      <c r="CI140" s="482"/>
      <c r="CJ140" s="482"/>
      <c r="CK140" s="482"/>
      <c r="CL140" s="482"/>
      <c r="CM140" s="482"/>
      <c r="CN140" s="482"/>
      <c r="CO140" s="482"/>
      <c r="CP140" s="482"/>
      <c r="CQ140" s="482"/>
      <c r="CR140" s="482"/>
      <c r="CS140" s="482"/>
      <c r="CT140" s="482"/>
      <c r="CU140" s="482"/>
      <c r="CV140" s="482"/>
      <c r="CW140" s="482"/>
      <c r="CX140" s="482"/>
      <c r="CY140" s="482"/>
      <c r="CZ140" s="482"/>
      <c r="DA140" s="482"/>
      <c r="DB140" s="482"/>
      <c r="DC140" s="482"/>
      <c r="DD140" s="482"/>
      <c r="DE140" s="482"/>
      <c r="DF140" s="482"/>
      <c r="DG140" s="482"/>
      <c r="DH140" s="482"/>
      <c r="DI140" s="482"/>
      <c r="DJ140" s="482"/>
      <c r="DK140" s="482"/>
      <c r="DL140" s="482"/>
      <c r="DM140" s="482"/>
      <c r="DN140" s="482"/>
      <c r="DO140" s="482"/>
      <c r="DP140" s="482"/>
      <c r="DQ140" s="482"/>
      <c r="DR140" s="482"/>
      <c r="DS140" s="482"/>
      <c r="DT140" s="482"/>
      <c r="DU140" s="482"/>
      <c r="DV140" s="482"/>
      <c r="DW140" s="482"/>
      <c r="DX140" s="482"/>
      <c r="DY140" s="482"/>
      <c r="DZ140" s="482"/>
      <c r="EA140" s="482"/>
      <c r="EB140" s="482"/>
      <c r="EC140" s="482"/>
      <c r="ED140" s="482"/>
      <c r="EE140" s="482"/>
      <c r="EF140" s="482"/>
      <c r="EG140" s="482"/>
      <c r="EH140" s="482"/>
      <c r="EI140" s="482"/>
      <c r="EJ140" s="482"/>
      <c r="EK140" s="482"/>
      <c r="EL140" s="482"/>
      <c r="EM140" s="482"/>
      <c r="EN140" s="482"/>
      <c r="EO140" s="482"/>
      <c r="EP140" s="482"/>
      <c r="EQ140" s="482"/>
      <c r="ER140" s="482"/>
      <c r="ES140" s="482"/>
      <c r="ET140" s="482"/>
      <c r="EU140" s="482"/>
      <c r="EV140" s="482"/>
      <c r="EW140" s="482"/>
      <c r="EX140" s="482"/>
      <c r="EY140" s="482"/>
      <c r="EZ140" s="482"/>
      <c r="FA140" s="482"/>
      <c r="FB140" s="482"/>
      <c r="FC140" s="482"/>
      <c r="FD140" s="482"/>
      <c r="FE140" s="482"/>
      <c r="FF140" s="482"/>
      <c r="FG140" s="482"/>
      <c r="FH140" s="482"/>
      <c r="FI140" s="482"/>
      <c r="FJ140" s="482"/>
      <c r="FK140" s="482"/>
      <c r="FL140" s="482"/>
      <c r="FM140" s="482"/>
      <c r="FN140" s="482"/>
      <c r="FO140" s="482"/>
      <c r="FP140" s="482"/>
      <c r="FQ140" s="482"/>
      <c r="FR140" s="482"/>
      <c r="FS140" s="482"/>
      <c r="FT140" s="482"/>
      <c r="FU140" s="482"/>
      <c r="FV140" s="482"/>
      <c r="FW140" s="482"/>
      <c r="FX140" s="482"/>
      <c r="FY140" s="482"/>
      <c r="FZ140" s="482"/>
      <c r="GA140" s="482"/>
      <c r="GB140" s="482"/>
      <c r="GC140" s="482"/>
      <c r="GD140" s="482"/>
      <c r="GE140" s="482"/>
      <c r="GF140" s="482"/>
      <c r="GG140" s="482"/>
      <c r="GH140" s="482"/>
      <c r="GI140" s="482"/>
      <c r="GJ140" s="482"/>
      <c r="GK140" s="482"/>
      <c r="GL140" s="482"/>
      <c r="GM140" s="482"/>
      <c r="GN140" s="482"/>
      <c r="GO140" s="482"/>
      <c r="GP140" s="482"/>
      <c r="GQ140" s="482"/>
      <c r="GR140" s="482"/>
      <c r="GS140" s="482"/>
      <c r="GT140" s="482"/>
      <c r="GU140" s="482"/>
      <c r="GV140" s="482"/>
      <c r="GW140" s="482"/>
      <c r="GX140" s="482"/>
      <c r="GY140" s="482"/>
      <c r="GZ140" s="482"/>
      <c r="HA140" s="482"/>
      <c r="HB140" s="482"/>
      <c r="HC140" s="482"/>
      <c r="IN140"/>
    </row>
    <row r="141" spans="1:259" x14ac:dyDescent="0.3">
      <c r="A141" s="4"/>
      <c r="IN141"/>
    </row>
    <row r="142" spans="1:259" x14ac:dyDescent="0.3">
      <c r="A142" s="4"/>
      <c r="B142" s="474"/>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474"/>
      <c r="AL142" s="474"/>
      <c r="AM142" s="474"/>
      <c r="AN142" s="474"/>
      <c r="AO142" s="474"/>
      <c r="AP142" s="474"/>
      <c r="AQ142" s="474"/>
      <c r="AR142" s="474"/>
      <c r="AS142" s="474"/>
      <c r="AT142" s="474"/>
      <c r="AU142" s="474"/>
      <c r="AV142" s="474"/>
      <c r="AW142" s="474"/>
      <c r="AX142" s="474"/>
      <c r="AY142" s="474"/>
      <c r="AZ142" s="474"/>
      <c r="BA142" s="474"/>
      <c r="BB142" s="474"/>
      <c r="BC142" s="474"/>
      <c r="BD142" s="474"/>
      <c r="BE142" s="474"/>
      <c r="BF142" s="474"/>
      <c r="BG142" s="474"/>
      <c r="BH142" s="474"/>
      <c r="BI142" s="474"/>
      <c r="BJ142" s="474"/>
      <c r="BK142" s="474"/>
      <c r="BL142" s="474"/>
      <c r="BM142" s="474"/>
      <c r="BN142" s="474"/>
      <c r="BO142" s="474"/>
      <c r="BP142" s="474"/>
      <c r="BQ142" s="474"/>
      <c r="BR142" s="474"/>
      <c r="BS142" s="474"/>
      <c r="IN142"/>
    </row>
    <row r="143" spans="1:259" x14ac:dyDescent="0.3">
      <c r="A143" s="476"/>
      <c r="B143" s="453"/>
      <c r="C143" s="453"/>
      <c r="D143" s="453"/>
      <c r="E143" s="453"/>
      <c r="F143" s="453"/>
      <c r="G143" s="453"/>
      <c r="H143" s="453"/>
      <c r="I143" s="453"/>
      <c r="J143" s="453"/>
      <c r="K143" s="453"/>
      <c r="L143" s="453"/>
      <c r="M143" s="453"/>
      <c r="N143" s="453"/>
      <c r="O143" s="453"/>
      <c r="P143" s="453"/>
      <c r="Q143" s="453"/>
      <c r="R143" s="453"/>
      <c r="S143" s="453"/>
      <c r="T143" s="453"/>
      <c r="U143" s="453"/>
      <c r="V143" s="453"/>
      <c r="W143" s="453"/>
      <c r="X143" s="453"/>
      <c r="Y143" s="453"/>
      <c r="Z143" s="453"/>
      <c r="AA143" s="453"/>
      <c r="AB143" s="453"/>
      <c r="AC143" s="453"/>
      <c r="AD143" s="453"/>
      <c r="AE143" s="453"/>
      <c r="AF143" s="453"/>
      <c r="AG143" s="453"/>
      <c r="AH143" s="453"/>
      <c r="AI143" s="453"/>
      <c r="AJ143" s="453"/>
      <c r="AK143" s="453"/>
      <c r="AL143" s="453"/>
      <c r="AM143" s="453"/>
      <c r="AN143" s="453"/>
      <c r="AO143" s="453"/>
      <c r="AP143" s="453"/>
      <c r="AQ143" s="453"/>
      <c r="AR143" s="453"/>
      <c r="AS143" s="453"/>
      <c r="AT143" s="453"/>
      <c r="AU143" s="453"/>
      <c r="AV143" s="453"/>
      <c r="AW143" s="453"/>
      <c r="AX143" s="453"/>
      <c r="AY143" s="453"/>
      <c r="AZ143" s="453"/>
      <c r="BA143" s="453"/>
      <c r="BB143" s="453"/>
      <c r="BC143" s="453"/>
      <c r="BD143" s="453"/>
      <c r="BE143" s="453"/>
      <c r="BF143" s="453"/>
      <c r="BG143" s="453"/>
      <c r="BH143" s="453"/>
      <c r="BI143" s="453"/>
      <c r="BJ143" s="453"/>
      <c r="BK143" s="453"/>
      <c r="BL143" s="453"/>
      <c r="BM143" s="453"/>
      <c r="BN143" s="453"/>
      <c r="BO143" s="453"/>
      <c r="BP143" s="453"/>
      <c r="BQ143" s="453"/>
      <c r="BR143" s="453"/>
      <c r="BS143" s="453"/>
      <c r="IN143"/>
    </row>
    <row r="144" spans="1:259" x14ac:dyDescent="0.3">
      <c r="A144" s="476"/>
      <c r="B144" s="453"/>
      <c r="C144" s="453"/>
      <c r="D144" s="453"/>
      <c r="E144" s="453"/>
      <c r="F144" s="453"/>
      <c r="G144" s="453"/>
      <c r="H144" s="453"/>
      <c r="I144" s="453"/>
      <c r="J144" s="453"/>
      <c r="K144" s="453"/>
      <c r="L144" s="453"/>
      <c r="M144" s="453"/>
      <c r="N144" s="453"/>
      <c r="O144" s="453"/>
      <c r="P144" s="453"/>
      <c r="Q144" s="453"/>
      <c r="R144" s="453"/>
      <c r="S144" s="453"/>
      <c r="T144" s="453"/>
      <c r="U144" s="453"/>
      <c r="V144" s="453"/>
      <c r="W144" s="453"/>
      <c r="X144" s="453"/>
      <c r="Y144" s="453"/>
      <c r="Z144" s="453"/>
      <c r="AA144" s="453"/>
      <c r="AB144" s="453"/>
      <c r="AC144" s="453"/>
      <c r="AD144" s="453"/>
      <c r="AE144" s="453"/>
      <c r="AF144" s="453"/>
      <c r="AG144" s="453"/>
      <c r="AH144" s="453"/>
      <c r="AI144" s="453"/>
      <c r="AJ144" s="453"/>
      <c r="AK144" s="453"/>
      <c r="AL144" s="453"/>
      <c r="AM144" s="453"/>
      <c r="AN144" s="453"/>
      <c r="AO144" s="453"/>
      <c r="AP144" s="453"/>
      <c r="AQ144" s="453"/>
      <c r="AR144" s="453"/>
      <c r="AS144" s="453"/>
      <c r="AT144" s="453"/>
      <c r="AU144" s="453"/>
      <c r="AV144" s="453"/>
      <c r="AW144" s="453"/>
      <c r="AX144" s="453"/>
      <c r="AY144" s="453"/>
      <c r="AZ144" s="453"/>
      <c r="BA144" s="453"/>
      <c r="BB144" s="453"/>
      <c r="BC144" s="453"/>
      <c r="BD144" s="453"/>
      <c r="BE144" s="453"/>
      <c r="BF144" s="453"/>
      <c r="BG144" s="453"/>
      <c r="BH144" s="453"/>
      <c r="BI144" s="453"/>
      <c r="BJ144" s="453"/>
      <c r="BK144" s="453"/>
      <c r="BL144" s="453"/>
      <c r="BM144" s="453"/>
      <c r="BN144" s="453"/>
      <c r="BO144" s="453"/>
      <c r="BP144" s="453"/>
      <c r="BQ144" s="453"/>
      <c r="BR144" s="453"/>
      <c r="BS144" s="453"/>
      <c r="IN144"/>
    </row>
    <row r="145" spans="1:259" x14ac:dyDescent="0.3">
      <c r="A145" s="476"/>
      <c r="B145" s="453"/>
      <c r="C145" s="453"/>
      <c r="D145" s="453"/>
      <c r="E145" s="453"/>
      <c r="F145" s="453"/>
      <c r="G145" s="453"/>
      <c r="H145" s="453"/>
      <c r="I145" s="453"/>
      <c r="J145" s="453"/>
      <c r="K145" s="453"/>
      <c r="L145" s="453"/>
      <c r="M145" s="453"/>
      <c r="N145" s="453"/>
      <c r="O145" s="453"/>
      <c r="P145" s="453"/>
      <c r="Q145" s="453"/>
      <c r="R145" s="453"/>
      <c r="S145" s="453"/>
      <c r="T145" s="453"/>
      <c r="U145" s="453"/>
      <c r="V145" s="453"/>
      <c r="W145" s="453"/>
      <c r="X145" s="453"/>
      <c r="Y145" s="453"/>
      <c r="Z145" s="453"/>
      <c r="AA145" s="453"/>
      <c r="AB145" s="453"/>
      <c r="AC145" s="453"/>
      <c r="AD145" s="453"/>
      <c r="AE145" s="453"/>
      <c r="AF145" s="453"/>
      <c r="AG145" s="453"/>
      <c r="AH145" s="453"/>
      <c r="AI145" s="453"/>
      <c r="AJ145" s="453"/>
      <c r="AK145" s="453"/>
      <c r="AL145" s="453"/>
      <c r="AM145" s="453"/>
      <c r="AN145" s="453"/>
      <c r="AO145" s="453"/>
      <c r="AP145" s="453"/>
      <c r="AQ145" s="453"/>
      <c r="AR145" s="453"/>
      <c r="AS145" s="453"/>
      <c r="AT145" s="453"/>
      <c r="AU145" s="453"/>
      <c r="AV145" s="453"/>
      <c r="AW145" s="453"/>
      <c r="AX145" s="453"/>
      <c r="AY145" s="453"/>
      <c r="AZ145" s="453"/>
      <c r="BA145" s="453"/>
      <c r="BB145" s="453"/>
      <c r="BC145" s="453"/>
      <c r="BD145" s="453"/>
      <c r="BE145" s="453"/>
      <c r="BF145" s="453"/>
      <c r="BG145" s="453"/>
      <c r="BH145" s="453"/>
      <c r="BI145" s="453"/>
      <c r="BJ145" s="453"/>
      <c r="BK145" s="453"/>
      <c r="BL145" s="453"/>
      <c r="BM145" s="453"/>
      <c r="BN145" s="453"/>
      <c r="BO145" s="453"/>
      <c r="BP145" s="453"/>
      <c r="BQ145" s="453"/>
      <c r="BR145" s="453"/>
      <c r="BS145" s="453"/>
      <c r="IN145"/>
    </row>
    <row r="146" spans="1:259" x14ac:dyDescent="0.3">
      <c r="A146" s="476"/>
      <c r="B146" s="453"/>
      <c r="C146" s="453"/>
      <c r="D146" s="453"/>
      <c r="E146" s="453"/>
      <c r="F146" s="453"/>
      <c r="G146" s="453"/>
      <c r="H146" s="453"/>
      <c r="I146" s="453"/>
      <c r="J146" s="453"/>
      <c r="K146" s="453"/>
      <c r="L146" s="453"/>
      <c r="M146" s="453"/>
      <c r="N146" s="453"/>
      <c r="O146" s="453"/>
      <c r="P146" s="453"/>
      <c r="Q146" s="453"/>
      <c r="R146" s="453"/>
      <c r="S146" s="453"/>
      <c r="T146" s="453"/>
      <c r="U146" s="453"/>
      <c r="V146" s="453"/>
      <c r="W146" s="453"/>
      <c r="X146" s="453"/>
      <c r="Y146" s="453"/>
      <c r="Z146" s="453"/>
      <c r="AA146" s="453"/>
      <c r="AB146" s="453"/>
      <c r="AC146" s="453"/>
      <c r="AD146" s="453"/>
      <c r="AE146" s="453"/>
      <c r="AF146" s="453"/>
      <c r="AG146" s="453"/>
      <c r="AH146" s="453"/>
      <c r="AI146" s="453"/>
      <c r="AJ146" s="453"/>
      <c r="AK146" s="453"/>
      <c r="AL146" s="453"/>
      <c r="AM146" s="453"/>
      <c r="AN146" s="453"/>
      <c r="AO146" s="453"/>
      <c r="AP146" s="453"/>
      <c r="AQ146" s="453"/>
      <c r="AR146" s="453"/>
      <c r="AS146" s="453"/>
      <c r="AT146" s="453"/>
      <c r="AU146" s="453"/>
      <c r="AV146" s="453"/>
      <c r="AW146" s="453"/>
      <c r="AX146" s="453"/>
      <c r="AY146" s="453"/>
      <c r="AZ146" s="453"/>
      <c r="BA146" s="453"/>
      <c r="BB146" s="453"/>
      <c r="BC146" s="453"/>
      <c r="BD146" s="453"/>
      <c r="BE146" s="453"/>
      <c r="BF146" s="453"/>
      <c r="BG146" s="453"/>
      <c r="BH146" s="453"/>
      <c r="BI146" s="453"/>
      <c r="BJ146" s="453"/>
      <c r="BK146" s="453"/>
      <c r="BL146" s="453"/>
      <c r="BM146" s="453"/>
      <c r="BN146" s="453"/>
      <c r="BO146" s="453"/>
      <c r="BP146" s="453"/>
      <c r="BQ146" s="453"/>
      <c r="BR146" s="453"/>
      <c r="BS146" s="453"/>
      <c r="IN146"/>
    </row>
    <row r="147" spans="1:259" x14ac:dyDescent="0.3">
      <c r="A147" s="476"/>
      <c r="B147" s="453"/>
      <c r="C147" s="453"/>
      <c r="D147" s="453"/>
      <c r="E147" s="453"/>
      <c r="F147" s="453"/>
      <c r="G147" s="453"/>
      <c r="H147" s="453"/>
      <c r="I147" s="453"/>
      <c r="J147" s="453"/>
      <c r="K147" s="453"/>
      <c r="L147" s="453"/>
      <c r="M147" s="453"/>
      <c r="N147" s="453"/>
      <c r="O147" s="453"/>
      <c r="P147" s="453"/>
      <c r="Q147" s="453"/>
      <c r="R147" s="453"/>
      <c r="S147" s="453"/>
      <c r="T147" s="453"/>
      <c r="U147" s="453"/>
      <c r="V147" s="453"/>
      <c r="W147" s="453"/>
      <c r="X147" s="453"/>
      <c r="Y147" s="453"/>
      <c r="Z147" s="453"/>
      <c r="AA147" s="453"/>
      <c r="AB147" s="453"/>
      <c r="AC147" s="453"/>
      <c r="AD147" s="453"/>
      <c r="AE147" s="453"/>
      <c r="AF147" s="453"/>
      <c r="AG147" s="453"/>
      <c r="AH147" s="453"/>
      <c r="AI147" s="453"/>
      <c r="AJ147" s="453"/>
      <c r="AK147" s="453"/>
      <c r="AL147" s="453"/>
      <c r="AM147" s="453"/>
      <c r="AN147" s="453"/>
      <c r="AO147" s="453"/>
      <c r="AP147" s="453"/>
      <c r="AQ147" s="453"/>
      <c r="AR147" s="453"/>
      <c r="AS147" s="453"/>
      <c r="AT147" s="453"/>
      <c r="AU147" s="453"/>
      <c r="AV147" s="453"/>
      <c r="AW147" s="453"/>
      <c r="AX147" s="453"/>
      <c r="AY147" s="453"/>
      <c r="AZ147" s="453"/>
      <c r="BA147" s="453"/>
      <c r="BB147" s="453"/>
      <c r="BC147" s="453"/>
      <c r="BD147" s="453"/>
      <c r="BE147" s="453"/>
      <c r="BF147" s="453"/>
      <c r="BG147" s="453"/>
      <c r="BH147" s="453"/>
      <c r="BI147" s="453"/>
      <c r="BJ147" s="453"/>
      <c r="BK147" s="453"/>
      <c r="BL147" s="453"/>
      <c r="BM147" s="453"/>
      <c r="BN147" s="453"/>
      <c r="BO147" s="453"/>
      <c r="BP147" s="453"/>
      <c r="BQ147" s="453"/>
      <c r="BR147" s="453"/>
      <c r="BS147" s="453"/>
      <c r="IN147"/>
    </row>
    <row r="148" spans="1:259" x14ac:dyDescent="0.3">
      <c r="A148" s="476"/>
      <c r="B148" s="453"/>
      <c r="C148" s="453"/>
      <c r="D148" s="453"/>
      <c r="E148" s="453"/>
      <c r="F148" s="453"/>
      <c r="G148" s="453"/>
      <c r="H148" s="453"/>
      <c r="I148" s="453"/>
      <c r="J148" s="453"/>
      <c r="K148" s="453"/>
      <c r="L148" s="453"/>
      <c r="M148" s="453"/>
      <c r="N148" s="453"/>
      <c r="O148" s="453"/>
      <c r="P148" s="453"/>
      <c r="Q148" s="453"/>
      <c r="R148" s="453"/>
      <c r="S148" s="453"/>
      <c r="T148" s="453"/>
      <c r="U148" s="453"/>
      <c r="V148" s="453"/>
      <c r="W148" s="453"/>
      <c r="X148" s="453"/>
      <c r="Y148" s="453"/>
      <c r="Z148" s="453"/>
      <c r="AA148" s="453"/>
      <c r="AB148" s="453"/>
      <c r="AC148" s="453"/>
      <c r="AD148" s="453"/>
      <c r="AE148" s="453"/>
      <c r="AF148" s="453"/>
      <c r="AG148" s="453"/>
      <c r="AH148" s="453"/>
      <c r="AI148" s="453"/>
      <c r="AJ148" s="453"/>
      <c r="AK148" s="453"/>
      <c r="AL148" s="453"/>
      <c r="AM148" s="453"/>
      <c r="AN148" s="453"/>
      <c r="AO148" s="453"/>
      <c r="AP148" s="453"/>
      <c r="AQ148" s="453"/>
      <c r="AR148" s="453"/>
      <c r="AS148" s="453"/>
      <c r="AT148" s="453"/>
      <c r="AU148" s="453"/>
      <c r="AV148" s="453"/>
      <c r="AW148" s="453"/>
      <c r="AX148" s="453"/>
      <c r="AY148" s="453"/>
      <c r="AZ148" s="453"/>
      <c r="BA148" s="453"/>
      <c r="BB148" s="453"/>
      <c r="BC148" s="453"/>
      <c r="BD148" s="453"/>
      <c r="BE148" s="453"/>
      <c r="BF148" s="453"/>
      <c r="BG148" s="453"/>
      <c r="BH148" s="453"/>
      <c r="BI148" s="453"/>
      <c r="BJ148" s="453"/>
      <c r="BK148" s="453"/>
      <c r="BL148" s="453"/>
      <c r="BM148" s="453"/>
      <c r="BN148" s="453"/>
      <c r="BO148" s="453"/>
      <c r="BP148" s="453"/>
      <c r="BQ148" s="453"/>
      <c r="BR148" s="453"/>
      <c r="BS148" s="453"/>
      <c r="IN148"/>
    </row>
    <row r="149" spans="1:259" x14ac:dyDescent="0.3">
      <c r="A149" s="476"/>
      <c r="B149" s="453"/>
      <c r="C149" s="453"/>
      <c r="D149" s="453"/>
      <c r="E149" s="453"/>
      <c r="F149" s="453"/>
      <c r="G149" s="453"/>
      <c r="H149" s="453"/>
      <c r="I149" s="453"/>
      <c r="J149" s="453"/>
      <c r="K149" s="453"/>
      <c r="L149" s="453"/>
      <c r="M149" s="453"/>
      <c r="N149" s="453"/>
      <c r="O149" s="453"/>
      <c r="P149" s="453"/>
      <c r="Q149" s="453"/>
      <c r="R149" s="453"/>
      <c r="S149" s="453"/>
      <c r="T149" s="453"/>
      <c r="U149" s="453"/>
      <c r="V149" s="453"/>
      <c r="W149" s="453"/>
      <c r="X149" s="453"/>
      <c r="Y149" s="453"/>
      <c r="Z149" s="453"/>
      <c r="AA149" s="453"/>
      <c r="AB149" s="453"/>
      <c r="AC149" s="453"/>
      <c r="AD149" s="453"/>
      <c r="AE149" s="453"/>
      <c r="AF149" s="453"/>
      <c r="AG149" s="453"/>
      <c r="AH149" s="453"/>
      <c r="AI149" s="453"/>
      <c r="AJ149" s="453"/>
      <c r="AK149" s="453"/>
      <c r="AL149" s="453"/>
      <c r="AM149" s="453"/>
      <c r="AN149" s="453"/>
      <c r="AO149" s="453"/>
      <c r="AP149" s="453"/>
      <c r="AQ149" s="453"/>
      <c r="AR149" s="453"/>
      <c r="AS149" s="453"/>
      <c r="AT149" s="453"/>
      <c r="AU149" s="453"/>
      <c r="AV149" s="453"/>
      <c r="AW149" s="453"/>
      <c r="AX149" s="453"/>
      <c r="AY149" s="453"/>
      <c r="AZ149" s="453"/>
      <c r="BA149" s="453"/>
      <c r="BB149" s="453"/>
      <c r="BC149" s="453"/>
      <c r="BD149" s="453"/>
      <c r="BE149" s="453"/>
      <c r="BF149" s="453"/>
      <c r="BG149" s="453"/>
      <c r="BH149" s="453"/>
      <c r="BI149" s="453"/>
      <c r="BJ149" s="453"/>
      <c r="BK149" s="453"/>
      <c r="BL149" s="453"/>
      <c r="BM149" s="453"/>
      <c r="BN149" s="453"/>
      <c r="BO149" s="453"/>
      <c r="BP149" s="453"/>
      <c r="BQ149" s="453"/>
      <c r="BR149" s="453"/>
      <c r="BS149" s="453"/>
      <c r="IN149"/>
    </row>
    <row r="150" spans="1:259" x14ac:dyDescent="0.3">
      <c r="A150" s="476"/>
      <c r="B150" s="453"/>
      <c r="C150" s="453"/>
      <c r="D150" s="453"/>
      <c r="E150" s="453"/>
      <c r="F150" s="453"/>
      <c r="G150" s="453"/>
      <c r="H150" s="453"/>
      <c r="I150" s="453"/>
      <c r="J150" s="453"/>
      <c r="K150" s="453"/>
      <c r="L150" s="453"/>
      <c r="M150" s="453"/>
      <c r="N150" s="453"/>
      <c r="O150" s="453"/>
      <c r="P150" s="453"/>
      <c r="Q150" s="453"/>
      <c r="R150" s="453"/>
      <c r="S150" s="453"/>
      <c r="T150" s="453"/>
      <c r="U150" s="453"/>
      <c r="V150" s="453"/>
      <c r="W150" s="453"/>
      <c r="X150" s="453"/>
      <c r="Y150" s="453"/>
      <c r="Z150" s="453"/>
      <c r="AA150" s="453"/>
      <c r="AB150" s="453"/>
      <c r="AC150" s="453"/>
      <c r="AD150" s="453"/>
      <c r="AE150" s="453"/>
      <c r="AF150" s="453"/>
      <c r="AG150" s="453"/>
      <c r="AH150" s="453"/>
      <c r="AI150" s="453"/>
      <c r="AJ150" s="453"/>
      <c r="AK150" s="453"/>
      <c r="AL150" s="453"/>
      <c r="AM150" s="453"/>
      <c r="AN150" s="453"/>
      <c r="AO150" s="453"/>
      <c r="AP150" s="453"/>
      <c r="AQ150" s="453"/>
      <c r="AR150" s="453"/>
      <c r="AS150" s="453"/>
      <c r="AT150" s="453"/>
      <c r="AU150" s="453"/>
      <c r="AV150" s="453"/>
      <c r="AW150" s="453"/>
      <c r="AX150" s="453"/>
      <c r="AY150" s="453"/>
      <c r="AZ150" s="453"/>
      <c r="BA150" s="453"/>
      <c r="BB150" s="453"/>
      <c r="BC150" s="453"/>
      <c r="BD150" s="453"/>
      <c r="BE150" s="453"/>
      <c r="BF150" s="453"/>
      <c r="BG150" s="453"/>
      <c r="BH150" s="453"/>
      <c r="BI150" s="453"/>
      <c r="BJ150" s="453"/>
      <c r="BK150" s="453"/>
      <c r="BL150" s="453"/>
      <c r="BM150" s="453"/>
      <c r="BN150" s="453"/>
      <c r="BO150" s="453"/>
      <c r="BP150" s="453"/>
      <c r="BQ150" s="453"/>
      <c r="BR150" s="453"/>
      <c r="BS150" s="453"/>
      <c r="IN150"/>
    </row>
    <row r="151" spans="1:259" x14ac:dyDescent="0.3">
      <c r="A151" s="476"/>
      <c r="B151" s="453"/>
      <c r="C151" s="453"/>
      <c r="D151" s="453"/>
      <c r="E151" s="453"/>
      <c r="F151" s="453"/>
      <c r="G151" s="453"/>
      <c r="H151" s="453"/>
      <c r="I151" s="453"/>
      <c r="J151" s="453"/>
      <c r="K151" s="453"/>
      <c r="L151" s="453"/>
      <c r="M151" s="453"/>
      <c r="N151" s="453"/>
      <c r="O151" s="453"/>
      <c r="P151" s="453"/>
      <c r="Q151" s="453"/>
      <c r="R151" s="453"/>
      <c r="S151" s="453"/>
      <c r="T151" s="453"/>
      <c r="U151" s="453"/>
      <c r="V151" s="453"/>
      <c r="W151" s="453"/>
      <c r="X151" s="453"/>
      <c r="Y151" s="453"/>
      <c r="Z151" s="453"/>
      <c r="AA151" s="453"/>
      <c r="AB151" s="453"/>
      <c r="AC151" s="453"/>
      <c r="AD151" s="453"/>
      <c r="AE151" s="453"/>
      <c r="AF151" s="453"/>
      <c r="AG151" s="453"/>
      <c r="AH151" s="453"/>
      <c r="AI151" s="453"/>
      <c r="AJ151" s="453"/>
      <c r="AK151" s="453"/>
      <c r="AL151" s="453"/>
      <c r="AM151" s="453"/>
      <c r="AN151" s="453"/>
      <c r="AO151" s="453"/>
      <c r="AP151" s="453"/>
      <c r="AQ151" s="453"/>
      <c r="AR151" s="453"/>
      <c r="AS151" s="453"/>
      <c r="AT151" s="453"/>
      <c r="AU151" s="453"/>
      <c r="AV151" s="453"/>
      <c r="AW151" s="453"/>
      <c r="AX151" s="453"/>
      <c r="AY151" s="453"/>
      <c r="AZ151" s="453"/>
      <c r="BA151" s="453"/>
      <c r="BB151" s="453"/>
      <c r="BC151" s="453"/>
      <c r="BD151" s="453"/>
      <c r="BE151" s="453"/>
      <c r="BF151" s="453"/>
      <c r="BG151" s="453"/>
      <c r="BH151" s="453"/>
      <c r="BI151" s="453"/>
      <c r="BJ151" s="453"/>
      <c r="BK151" s="453"/>
      <c r="BL151" s="453"/>
      <c r="BM151" s="453"/>
      <c r="BN151" s="453"/>
      <c r="BO151" s="453"/>
      <c r="BP151" s="453"/>
      <c r="BQ151" s="453"/>
      <c r="BR151" s="453"/>
      <c r="BS151" s="453"/>
      <c r="IN151"/>
    </row>
    <row r="152" spans="1:259" x14ac:dyDescent="0.3">
      <c r="A152" s="476"/>
      <c r="B152" s="453"/>
      <c r="C152" s="453"/>
      <c r="D152" s="453"/>
      <c r="E152" s="453"/>
      <c r="F152" s="453"/>
      <c r="G152" s="453"/>
      <c r="H152" s="453"/>
      <c r="I152" s="453"/>
      <c r="J152" s="453"/>
      <c r="K152" s="453"/>
      <c r="L152" s="453"/>
      <c r="M152" s="453"/>
      <c r="N152" s="453"/>
      <c r="O152" s="453"/>
      <c r="P152" s="453"/>
      <c r="Q152" s="453"/>
      <c r="R152" s="453"/>
      <c r="S152" s="453"/>
      <c r="T152" s="453"/>
      <c r="U152" s="453"/>
      <c r="V152" s="453"/>
      <c r="W152" s="453"/>
      <c r="X152" s="453"/>
      <c r="Y152" s="453"/>
      <c r="Z152" s="453"/>
      <c r="AA152" s="453"/>
      <c r="AB152" s="453"/>
      <c r="AC152" s="453"/>
      <c r="AD152" s="453"/>
      <c r="AE152" s="453"/>
      <c r="AF152" s="453"/>
      <c r="AG152" s="453"/>
      <c r="AH152" s="453"/>
      <c r="AI152" s="453"/>
      <c r="AJ152" s="453"/>
      <c r="AK152" s="453"/>
      <c r="AL152" s="453"/>
      <c r="AM152" s="453"/>
      <c r="AN152" s="453"/>
      <c r="AO152" s="453"/>
      <c r="AP152" s="453"/>
      <c r="AQ152" s="453"/>
      <c r="AR152" s="453"/>
      <c r="AS152" s="453"/>
      <c r="AT152" s="453"/>
      <c r="AU152" s="453"/>
      <c r="AV152" s="453"/>
      <c r="AW152" s="453"/>
      <c r="AX152" s="453"/>
      <c r="AY152" s="453"/>
      <c r="AZ152" s="453"/>
      <c r="BA152" s="453"/>
      <c r="BB152" s="453"/>
      <c r="BC152" s="453"/>
      <c r="BD152" s="453"/>
      <c r="BE152" s="453"/>
      <c r="BF152" s="453"/>
      <c r="BG152" s="453"/>
      <c r="BH152" s="453"/>
      <c r="BI152" s="453"/>
      <c r="BJ152" s="453"/>
      <c r="BK152" s="453"/>
      <c r="BL152" s="453"/>
      <c r="BM152" s="453"/>
      <c r="BN152" s="453"/>
      <c r="BO152" s="453"/>
      <c r="BP152" s="453"/>
      <c r="BQ152" s="453"/>
      <c r="BR152" s="453"/>
      <c r="BS152" s="453"/>
      <c r="IN152"/>
    </row>
    <row r="153" spans="1:259" x14ac:dyDescent="0.3">
      <c r="A153" s="476"/>
      <c r="B153" s="453"/>
      <c r="C153" s="453"/>
      <c r="D153" s="453"/>
      <c r="E153" s="453"/>
      <c r="F153" s="453"/>
      <c r="G153" s="453"/>
      <c r="H153" s="453"/>
      <c r="I153" s="453"/>
      <c r="J153" s="453"/>
      <c r="K153" s="453"/>
      <c r="L153" s="453"/>
      <c r="M153" s="453"/>
      <c r="N153" s="453"/>
      <c r="O153" s="453"/>
      <c r="P153" s="453"/>
      <c r="Q153" s="453"/>
      <c r="R153" s="453"/>
      <c r="S153" s="453"/>
      <c r="T153" s="453"/>
      <c r="U153" s="453"/>
      <c r="V153" s="453"/>
      <c r="W153" s="453"/>
      <c r="X153" s="453"/>
      <c r="Y153" s="453"/>
      <c r="Z153" s="453"/>
      <c r="AA153" s="453"/>
      <c r="AB153" s="453"/>
      <c r="AC153" s="453"/>
      <c r="AD153" s="453"/>
      <c r="AE153" s="453"/>
      <c r="AF153" s="453"/>
      <c r="AG153" s="453"/>
      <c r="AH153" s="453"/>
      <c r="AI153" s="453"/>
      <c r="AJ153" s="453"/>
      <c r="AK153" s="453"/>
      <c r="AL153" s="453"/>
      <c r="AM153" s="453"/>
      <c r="AN153" s="453"/>
      <c r="AO153" s="453"/>
      <c r="AP153" s="453"/>
      <c r="AQ153" s="453"/>
      <c r="AR153" s="453"/>
      <c r="AS153" s="453"/>
      <c r="AT153" s="453"/>
      <c r="AU153" s="453"/>
      <c r="AV153" s="453"/>
      <c r="AW153" s="453"/>
      <c r="AX153" s="453"/>
      <c r="AY153" s="453"/>
      <c r="AZ153" s="453"/>
      <c r="BA153" s="453"/>
      <c r="BB153" s="453"/>
      <c r="BC153" s="453"/>
      <c r="BD153" s="453"/>
      <c r="BE153" s="453"/>
      <c r="BF153" s="453"/>
      <c r="BG153" s="453"/>
      <c r="BH153" s="453"/>
      <c r="BI153" s="453"/>
      <c r="BJ153" s="453"/>
      <c r="BK153" s="453"/>
      <c r="BL153" s="453"/>
      <c r="BM153" s="453"/>
      <c r="BN153" s="453"/>
      <c r="BO153" s="453"/>
      <c r="BP153" s="453"/>
      <c r="BQ153" s="453"/>
      <c r="BR153" s="453"/>
      <c r="BS153" s="453"/>
      <c r="IN153"/>
    </row>
    <row r="154" spans="1:259" x14ac:dyDescent="0.3">
      <c r="A154" s="476"/>
      <c r="B154" s="453"/>
      <c r="C154" s="453"/>
      <c r="D154" s="453"/>
      <c r="E154" s="453"/>
      <c r="F154" s="453"/>
      <c r="G154" s="453"/>
      <c r="H154" s="453"/>
      <c r="I154" s="453"/>
      <c r="J154" s="453"/>
      <c r="K154" s="453"/>
      <c r="L154" s="453"/>
      <c r="M154" s="453"/>
      <c r="N154" s="453"/>
      <c r="O154" s="453"/>
      <c r="P154" s="453"/>
      <c r="Q154" s="453"/>
      <c r="R154" s="453"/>
      <c r="S154" s="453"/>
      <c r="T154" s="453"/>
      <c r="U154" s="453"/>
      <c r="V154" s="453"/>
      <c r="W154" s="453"/>
      <c r="X154" s="453"/>
      <c r="Y154" s="453"/>
      <c r="Z154" s="453"/>
      <c r="AA154" s="453"/>
      <c r="AB154" s="453"/>
      <c r="AC154" s="453"/>
      <c r="AD154" s="453"/>
      <c r="AE154" s="453"/>
      <c r="AF154" s="453"/>
      <c r="AG154" s="453"/>
      <c r="AH154" s="453"/>
      <c r="AI154" s="453"/>
      <c r="AJ154" s="453"/>
      <c r="AK154" s="453"/>
      <c r="AL154" s="453"/>
      <c r="AM154" s="453"/>
      <c r="AN154" s="453"/>
      <c r="AO154" s="453"/>
      <c r="AP154" s="453"/>
      <c r="AQ154" s="453"/>
      <c r="AR154" s="453"/>
      <c r="AS154" s="453"/>
      <c r="AT154" s="453"/>
      <c r="AU154" s="453"/>
      <c r="AV154" s="453"/>
      <c r="AW154" s="453"/>
      <c r="AX154" s="453"/>
      <c r="AY154" s="453"/>
      <c r="AZ154" s="453"/>
      <c r="BA154" s="453"/>
      <c r="BB154" s="453"/>
      <c r="BC154" s="453"/>
      <c r="BD154" s="453"/>
      <c r="BE154" s="453"/>
      <c r="BF154" s="453"/>
      <c r="BG154" s="453"/>
      <c r="BH154" s="453"/>
      <c r="BI154" s="453"/>
      <c r="BJ154" s="453"/>
      <c r="BK154" s="453"/>
      <c r="BL154" s="453"/>
      <c r="BM154" s="453"/>
      <c r="BN154" s="453"/>
      <c r="BO154" s="453"/>
      <c r="BP154" s="453"/>
      <c r="BQ154" s="453"/>
      <c r="BR154" s="453"/>
      <c r="BS154" s="453"/>
      <c r="IN154"/>
    </row>
    <row r="155" spans="1:259" x14ac:dyDescent="0.3">
      <c r="A155" s="476"/>
      <c r="B155" s="453"/>
      <c r="C155" s="453"/>
      <c r="D155" s="453"/>
      <c r="E155" s="453"/>
      <c r="F155" s="453"/>
      <c r="G155" s="453"/>
      <c r="H155" s="453"/>
      <c r="I155" s="453"/>
      <c r="J155" s="453"/>
      <c r="K155" s="453"/>
      <c r="L155" s="453"/>
      <c r="M155" s="453"/>
      <c r="N155" s="453"/>
      <c r="O155" s="453"/>
      <c r="P155" s="453"/>
      <c r="Q155" s="453"/>
      <c r="R155" s="453"/>
      <c r="S155" s="453"/>
      <c r="T155" s="453"/>
      <c r="U155" s="453"/>
      <c r="V155" s="453"/>
      <c r="W155" s="453"/>
      <c r="X155" s="453"/>
      <c r="Y155" s="453"/>
      <c r="Z155" s="453"/>
      <c r="AA155" s="453"/>
      <c r="AB155" s="453"/>
      <c r="AC155" s="453"/>
      <c r="AD155" s="453"/>
      <c r="AE155" s="453"/>
      <c r="AF155" s="453"/>
      <c r="AG155" s="453"/>
      <c r="AH155" s="453"/>
      <c r="AI155" s="453"/>
      <c r="AJ155" s="453"/>
      <c r="AK155" s="453"/>
      <c r="AL155" s="453"/>
      <c r="AM155" s="453"/>
      <c r="AN155" s="453"/>
      <c r="AO155" s="453"/>
      <c r="AP155" s="453"/>
      <c r="AQ155" s="453"/>
      <c r="AR155" s="453"/>
      <c r="AS155" s="453"/>
      <c r="AT155" s="453"/>
      <c r="AU155" s="453"/>
      <c r="AV155" s="453"/>
      <c r="AW155" s="453"/>
      <c r="AX155" s="453"/>
      <c r="AY155" s="453"/>
      <c r="AZ155" s="453"/>
      <c r="BA155" s="453"/>
      <c r="BB155" s="453"/>
      <c r="BC155" s="453"/>
      <c r="BD155" s="453"/>
      <c r="BE155" s="453"/>
      <c r="BF155" s="453"/>
      <c r="BG155" s="453"/>
      <c r="BH155" s="453"/>
      <c r="BI155" s="453"/>
      <c r="BJ155" s="453"/>
      <c r="BK155" s="453"/>
      <c r="BL155" s="453"/>
      <c r="BM155" s="453"/>
      <c r="BN155" s="453"/>
      <c r="BO155" s="453"/>
      <c r="BP155" s="453"/>
      <c r="BQ155" s="453"/>
      <c r="BR155" s="453"/>
      <c r="BS155" s="453"/>
      <c r="IN155"/>
    </row>
    <row r="156" spans="1:259" x14ac:dyDescent="0.3">
      <c r="A156" s="4"/>
      <c r="B156" s="477"/>
      <c r="C156" s="477"/>
      <c r="D156" s="477"/>
      <c r="E156" s="477"/>
      <c r="F156" s="477"/>
      <c r="G156" s="477"/>
      <c r="H156" s="477"/>
      <c r="I156" s="477"/>
      <c r="J156" s="477"/>
      <c r="K156" s="477"/>
      <c r="L156" s="477"/>
      <c r="M156" s="477"/>
      <c r="N156" s="477"/>
      <c r="O156" s="477"/>
      <c r="P156" s="477"/>
      <c r="Q156" s="477"/>
      <c r="R156" s="477"/>
      <c r="S156" s="477"/>
      <c r="T156" s="477"/>
      <c r="U156" s="477"/>
      <c r="V156" s="477"/>
      <c r="W156" s="477"/>
      <c r="X156" s="477"/>
      <c r="Y156" s="477"/>
      <c r="Z156" s="477"/>
      <c r="AA156" s="477"/>
      <c r="AB156" s="477"/>
      <c r="AC156" s="477"/>
      <c r="AD156" s="477"/>
      <c r="AE156" s="477"/>
      <c r="AF156" s="477"/>
      <c r="AG156" s="477"/>
      <c r="AH156" s="477"/>
      <c r="AI156" s="477"/>
      <c r="AJ156" s="477"/>
      <c r="AK156" s="477"/>
      <c r="AL156" s="477"/>
      <c r="AM156" s="477"/>
      <c r="AN156" s="477"/>
      <c r="AO156" s="477"/>
      <c r="AP156" s="477"/>
      <c r="AQ156" s="477"/>
      <c r="AR156" s="477"/>
      <c r="AS156" s="477"/>
      <c r="AT156" s="477"/>
      <c r="AU156" s="477"/>
      <c r="AV156" s="477"/>
      <c r="AW156" s="477"/>
      <c r="AX156" s="477"/>
      <c r="AY156" s="477"/>
      <c r="AZ156" s="477"/>
      <c r="BA156" s="477"/>
      <c r="BB156" s="477"/>
      <c r="BC156" s="477"/>
      <c r="BD156" s="477"/>
      <c r="BE156" s="477"/>
      <c r="BF156" s="477"/>
      <c r="BG156" s="477"/>
      <c r="BH156" s="477"/>
      <c r="BI156" s="477"/>
      <c r="BJ156" s="477"/>
      <c r="BK156" s="477"/>
      <c r="BL156" s="477"/>
      <c r="BM156" s="477"/>
      <c r="BN156" s="477"/>
      <c r="BO156" s="477"/>
      <c r="BP156" s="477"/>
      <c r="BQ156" s="477"/>
      <c r="BR156" s="477"/>
      <c r="BS156" s="477"/>
      <c r="IN156"/>
    </row>
    <row r="157" spans="1:259" x14ac:dyDescent="0.3">
      <c r="IN157"/>
    </row>
    <row r="158" spans="1:259" x14ac:dyDescent="0.3">
      <c r="IN158"/>
    </row>
    <row r="159" spans="1:259" x14ac:dyDescent="0.3">
      <c r="A159" s="4"/>
      <c r="IN159"/>
    </row>
    <row r="160" spans="1:259" x14ac:dyDescent="0.3">
      <c r="A160" s="476"/>
      <c r="B160" s="474"/>
      <c r="C160" s="474"/>
      <c r="D160" s="474"/>
      <c r="E160" s="474"/>
      <c r="F160" s="474"/>
      <c r="G160" s="474"/>
      <c r="H160" s="474"/>
      <c r="I160" s="474"/>
      <c r="J160" s="474"/>
      <c r="K160" s="474"/>
      <c r="L160" s="474"/>
      <c r="M160" s="474"/>
      <c r="N160" s="474"/>
      <c r="O160" s="474"/>
      <c r="P160" s="474"/>
      <c r="Q160" s="474"/>
      <c r="R160" s="474"/>
      <c r="S160" s="474"/>
      <c r="T160" s="474"/>
      <c r="U160" s="474"/>
      <c r="V160" s="474"/>
      <c r="W160" s="474"/>
      <c r="X160" s="474"/>
      <c r="Y160" s="474"/>
      <c r="Z160" s="474"/>
      <c r="AA160" s="474"/>
      <c r="AB160" s="474"/>
      <c r="AC160" s="474"/>
      <c r="AD160" s="474"/>
      <c r="AE160" s="474"/>
      <c r="AF160" s="474"/>
      <c r="AG160" s="474"/>
      <c r="AH160" s="474"/>
      <c r="AI160" s="474"/>
      <c r="AJ160" s="474"/>
      <c r="AK160" s="474"/>
      <c r="AL160" s="474"/>
      <c r="AM160" s="474"/>
      <c r="AN160" s="474"/>
      <c r="AO160" s="474"/>
      <c r="AP160" s="474"/>
      <c r="AQ160" s="474"/>
      <c r="AR160" s="474"/>
      <c r="AS160" s="474"/>
      <c r="AT160" s="474"/>
      <c r="AU160" s="474"/>
      <c r="AV160" s="474"/>
      <c r="AW160" s="474"/>
      <c r="AX160" s="474"/>
      <c r="AY160" s="474"/>
      <c r="AZ160" s="474"/>
      <c r="BA160" s="474"/>
      <c r="BB160" s="474"/>
      <c r="BC160" s="474"/>
      <c r="BD160" s="474"/>
      <c r="BE160" s="474"/>
      <c r="BF160" s="474"/>
      <c r="BG160" s="474"/>
      <c r="BH160" s="474"/>
      <c r="BI160" s="474"/>
      <c r="BJ160" s="474"/>
      <c r="BK160" s="474"/>
      <c r="BL160" s="474"/>
      <c r="BM160" s="474"/>
      <c r="BN160" s="474"/>
      <c r="BO160" s="474"/>
      <c r="BP160" s="474"/>
      <c r="BQ160" s="474"/>
      <c r="BR160" s="474"/>
      <c r="BS160" s="474"/>
      <c r="BT160" s="474"/>
      <c r="BU160" s="474"/>
      <c r="BV160" s="474"/>
      <c r="BW160" s="474"/>
      <c r="BX160" s="474"/>
      <c r="BY160" s="474"/>
      <c r="BZ160" s="474"/>
      <c r="CA160" s="474"/>
      <c r="CB160" s="474"/>
      <c r="CC160" s="474"/>
      <c r="CD160" s="474"/>
      <c r="CE160" s="474"/>
      <c r="CF160" s="475"/>
      <c r="CG160" s="475"/>
      <c r="CH160" s="475"/>
      <c r="CI160" s="475"/>
      <c r="CJ160" s="475"/>
      <c r="CK160" s="475"/>
      <c r="CL160" s="475"/>
      <c r="CM160" s="475"/>
      <c r="CN160" s="475"/>
      <c r="CO160" s="475"/>
      <c r="CP160" s="475"/>
      <c r="CQ160" s="475"/>
      <c r="CR160" s="475"/>
      <c r="CS160" s="475"/>
      <c r="CT160" s="475"/>
      <c r="CU160" s="475"/>
      <c r="CV160" s="475"/>
      <c r="CW160" s="475"/>
      <c r="CX160" s="475"/>
      <c r="CY160" s="475"/>
      <c r="CZ160" s="475"/>
      <c r="DA160" s="475"/>
      <c r="DB160" s="475"/>
      <c r="DC160" s="475"/>
      <c r="DD160" s="475"/>
      <c r="DE160" s="475"/>
      <c r="DF160" s="475"/>
      <c r="DG160" s="475"/>
      <c r="DH160" s="475"/>
      <c r="DI160" s="475"/>
      <c r="DJ160" s="475"/>
      <c r="DK160" s="475"/>
      <c r="DL160" s="475"/>
      <c r="DM160" s="475"/>
      <c r="DN160" s="475"/>
      <c r="DO160" s="475"/>
      <c r="DP160" s="475"/>
      <c r="DQ160" s="475"/>
      <c r="DR160" s="475"/>
      <c r="DS160" s="475"/>
      <c r="DT160" s="475"/>
      <c r="DU160" s="475"/>
      <c r="DV160" s="475"/>
      <c r="DW160" s="475"/>
      <c r="DX160" s="475"/>
      <c r="DY160" s="475"/>
      <c r="DZ160" s="475"/>
      <c r="EA160" s="475"/>
      <c r="EB160" s="475"/>
      <c r="EC160" s="475"/>
      <c r="ED160" s="475"/>
      <c r="EE160" s="475"/>
      <c r="EF160" s="475"/>
      <c r="EG160" s="475"/>
      <c r="EH160" s="475"/>
      <c r="EI160" s="475"/>
      <c r="EJ160" s="475"/>
      <c r="EK160" s="475"/>
      <c r="EL160" s="475"/>
      <c r="EM160" s="475"/>
      <c r="EN160" s="475"/>
      <c r="EO160" s="475"/>
      <c r="EP160" s="475"/>
      <c r="EQ160" s="475"/>
      <c r="ER160" s="475"/>
      <c r="ES160" s="475"/>
      <c r="ET160" s="475"/>
      <c r="EU160" s="475"/>
      <c r="EV160" s="475"/>
      <c r="EW160" s="475"/>
      <c r="EX160" s="475"/>
      <c r="EY160" s="475"/>
      <c r="EZ160" s="475"/>
      <c r="FA160" s="475"/>
      <c r="FB160" s="475"/>
      <c r="FC160" s="475"/>
      <c r="FD160" s="475"/>
      <c r="FE160" s="475"/>
      <c r="FF160" s="475"/>
      <c r="FG160" s="475"/>
      <c r="FH160" s="475"/>
      <c r="FI160" s="475"/>
      <c r="FJ160" s="475"/>
      <c r="FK160" s="475"/>
      <c r="FL160" s="475"/>
      <c r="FM160" s="475"/>
      <c r="FN160" s="475"/>
      <c r="FO160" s="475"/>
      <c r="FP160" s="475"/>
      <c r="FQ160" s="475"/>
      <c r="FR160" s="475"/>
      <c r="FS160" s="475"/>
      <c r="FT160" s="475"/>
      <c r="FU160" s="475"/>
      <c r="FV160" s="475"/>
      <c r="FW160" s="475"/>
      <c r="FX160" s="475"/>
      <c r="FY160" s="475"/>
      <c r="FZ160" s="475"/>
      <c r="GA160" s="475"/>
      <c r="GB160" s="475"/>
      <c r="GC160" s="475"/>
      <c r="GD160" s="475"/>
      <c r="GE160" s="475"/>
      <c r="GF160" s="475"/>
      <c r="GG160" s="475"/>
      <c r="GH160" s="475"/>
      <c r="GI160" s="475"/>
      <c r="GJ160" s="475"/>
      <c r="GK160" s="475"/>
      <c r="GL160" s="475"/>
      <c r="GM160" s="475"/>
      <c r="GN160" s="475"/>
      <c r="GO160" s="475"/>
      <c r="GP160" s="475"/>
      <c r="GQ160" s="475"/>
      <c r="GR160" s="475"/>
      <c r="GS160" s="475"/>
      <c r="GT160" s="475"/>
      <c r="GU160" s="475"/>
      <c r="GV160" s="475"/>
      <c r="GW160" s="475"/>
      <c r="GX160" s="475"/>
      <c r="GY160" s="475"/>
      <c r="GZ160" s="475"/>
      <c r="HA160" s="475"/>
      <c r="HB160" s="475"/>
      <c r="HC160" s="475"/>
      <c r="HD160" s="475"/>
      <c r="HE160" s="475"/>
      <c r="HF160" s="475"/>
      <c r="HG160" s="475"/>
      <c r="HH160" s="475"/>
      <c r="HI160" s="475"/>
      <c r="HJ160" s="475"/>
      <c r="HK160" s="475"/>
      <c r="HL160" s="475"/>
      <c r="HM160" s="475"/>
      <c r="HN160" s="475"/>
      <c r="HO160" s="475"/>
      <c r="HP160" s="475"/>
      <c r="HQ160" s="475"/>
      <c r="HR160" s="475"/>
      <c r="HS160" s="475"/>
      <c r="HT160" s="475"/>
      <c r="HU160" s="475"/>
      <c r="HV160" s="475"/>
      <c r="HW160" s="475"/>
      <c r="HX160" s="475"/>
      <c r="HY160" s="475"/>
      <c r="HZ160" s="475"/>
      <c r="IA160" s="475"/>
      <c r="IB160" s="475"/>
      <c r="IC160" s="475"/>
      <c r="ID160" s="475"/>
      <c r="IE160" s="475"/>
      <c r="IF160" s="475"/>
      <c r="IG160" s="475"/>
      <c r="IH160" s="475"/>
      <c r="II160" s="475"/>
      <c r="IJ160" s="475"/>
      <c r="IK160" s="475"/>
      <c r="IL160" s="475"/>
      <c r="IM160" s="475"/>
      <c r="IN160" s="475"/>
      <c r="IO160" s="475"/>
      <c r="IP160" s="475"/>
      <c r="IQ160" s="475"/>
      <c r="IR160" s="475"/>
      <c r="IS160" s="475"/>
      <c r="IT160" s="475"/>
      <c r="IU160" s="475"/>
      <c r="IV160" s="475"/>
      <c r="IW160" s="483"/>
      <c r="IX160" s="483"/>
      <c r="IY160" s="483"/>
    </row>
    <row r="161" spans="1:519" x14ac:dyDescent="0.3">
      <c r="A161" s="484"/>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c r="BA161" s="15"/>
      <c r="BB161" s="15"/>
      <c r="BC161" s="15"/>
      <c r="BD161" s="15"/>
      <c r="BE161" s="15"/>
      <c r="BF161" s="15"/>
      <c r="BG161" s="15"/>
      <c r="BH161" s="15"/>
      <c r="BI161" s="15"/>
      <c r="BJ161" s="15"/>
      <c r="BK161" s="15"/>
      <c r="BL161" s="15"/>
      <c r="BM161" s="15"/>
      <c r="BN161" s="15"/>
      <c r="BO161" s="15"/>
      <c r="BP161" s="15"/>
      <c r="BQ161" s="15"/>
      <c r="BR161" s="15"/>
      <c r="BS161" s="15"/>
      <c r="BT161" s="15"/>
      <c r="BU161" s="15"/>
      <c r="BV161" s="15"/>
      <c r="BW161" s="15"/>
      <c r="BX161" s="15"/>
      <c r="BY161" s="15"/>
      <c r="BZ161" s="15"/>
      <c r="CA161" s="15"/>
      <c r="CB161" s="15"/>
      <c r="CC161" s="15"/>
      <c r="CD161" s="15"/>
      <c r="CE161" s="15"/>
      <c r="CF161" s="15"/>
      <c r="CG161" s="15"/>
      <c r="CH161" s="15"/>
      <c r="CI161" s="15"/>
      <c r="CJ161" s="15"/>
      <c r="CK161" s="15"/>
      <c r="CL161" s="15"/>
      <c r="CM161" s="15"/>
      <c r="CN161" s="15"/>
      <c r="CO161" s="15"/>
      <c r="CP161" s="15"/>
      <c r="CQ161" s="15"/>
      <c r="CR161" s="15"/>
      <c r="CS161" s="15"/>
      <c r="CT161" s="15"/>
      <c r="CU161" s="15"/>
      <c r="CV161" s="15"/>
      <c r="CW161" s="15"/>
      <c r="CX161" s="15"/>
      <c r="CY161" s="15"/>
      <c r="CZ161" s="15"/>
      <c r="DA161" s="15"/>
      <c r="DB161" s="15"/>
      <c r="DC161" s="15"/>
      <c r="DD161" s="15"/>
      <c r="DE161" s="15"/>
      <c r="DF161" s="15"/>
      <c r="DG161" s="15"/>
      <c r="DH161" s="15"/>
      <c r="DI161" s="15"/>
      <c r="DJ161" s="15"/>
      <c r="DK161" s="15"/>
      <c r="DL161" s="15"/>
      <c r="DM161" s="15"/>
      <c r="DN161" s="15"/>
      <c r="DO161" s="15"/>
      <c r="DP161" s="15"/>
      <c r="DQ161" s="15"/>
      <c r="DR161" s="15"/>
      <c r="DS161" s="15"/>
      <c r="DT161" s="15"/>
      <c r="DU161" s="15"/>
      <c r="DV161" s="15"/>
      <c r="DW161" s="15"/>
      <c r="DX161" s="15"/>
      <c r="DY161" s="15"/>
      <c r="DZ161" s="15"/>
      <c r="EA161" s="15"/>
      <c r="EB161" s="15"/>
      <c r="EC161" s="15"/>
      <c r="ED161" s="15"/>
      <c r="EE161" s="15"/>
      <c r="EF161" s="15"/>
      <c r="EG161" s="15"/>
      <c r="EH161" s="15"/>
      <c r="EI161" s="15"/>
      <c r="EJ161" s="15"/>
      <c r="EK161" s="15"/>
      <c r="EL161" s="15"/>
      <c r="EM161" s="15"/>
      <c r="EN161" s="15"/>
      <c r="EO161" s="15"/>
      <c r="EP161" s="15"/>
      <c r="EQ161" s="15"/>
      <c r="ER161" s="15"/>
      <c r="ES161" s="15"/>
      <c r="ET161" s="15"/>
      <c r="EU161" s="15"/>
      <c r="EV161" s="15"/>
      <c r="EW161" s="15"/>
      <c r="EX161" s="15"/>
      <c r="EY161" s="15"/>
      <c r="EZ161" s="15"/>
      <c r="FA161" s="15"/>
      <c r="FB161" s="15"/>
      <c r="FC161" s="15"/>
      <c r="FD161" s="15"/>
      <c r="FE161" s="15"/>
      <c r="FF161" s="15"/>
      <c r="FG161" s="15"/>
      <c r="FH161" s="15"/>
      <c r="FI161" s="15"/>
      <c r="FJ161" s="15"/>
      <c r="FK161" s="15"/>
      <c r="FL161" s="15"/>
      <c r="FM161" s="15"/>
      <c r="FN161" s="15"/>
      <c r="FO161" s="15"/>
      <c r="FP161" s="15"/>
      <c r="FQ161" s="15"/>
      <c r="FR161" s="15"/>
      <c r="FS161" s="15"/>
      <c r="FT161" s="15"/>
      <c r="FU161" s="15"/>
      <c r="FV161" s="15"/>
      <c r="FW161" s="15"/>
      <c r="FX161" s="15"/>
      <c r="FY161" s="15"/>
      <c r="FZ161" s="15"/>
      <c r="GA161" s="15"/>
      <c r="GB161" s="15"/>
      <c r="GC161" s="15"/>
      <c r="GD161" s="15"/>
      <c r="GE161" s="15"/>
      <c r="GF161" s="15"/>
      <c r="GG161" s="15"/>
      <c r="GH161" s="15"/>
      <c r="GI161" s="15"/>
      <c r="GJ161" s="15"/>
      <c r="GK161" s="15"/>
      <c r="GL161" s="15"/>
      <c r="GM161" s="15"/>
      <c r="GN161" s="15"/>
      <c r="GO161" s="15"/>
      <c r="GP161" s="15"/>
      <c r="GQ161" s="15"/>
      <c r="GR161" s="15"/>
      <c r="GS161" s="15"/>
      <c r="GT161" s="15"/>
      <c r="GU161" s="15"/>
      <c r="GV161" s="15"/>
      <c r="GW161" s="15"/>
      <c r="GX161" s="15"/>
      <c r="GY161" s="15"/>
      <c r="GZ161" s="15"/>
      <c r="HA161" s="15"/>
      <c r="HB161" s="15"/>
      <c r="HC161" s="15"/>
      <c r="HD161" s="15"/>
      <c r="HE161" s="15"/>
      <c r="HF161" s="15"/>
      <c r="HG161" s="15"/>
      <c r="HH161" s="15"/>
      <c r="HI161" s="15"/>
      <c r="HJ161" s="15"/>
      <c r="HK161" s="15"/>
      <c r="HL161" s="15"/>
      <c r="HM161" s="15"/>
      <c r="HN161" s="15"/>
      <c r="HO161" s="15"/>
      <c r="HP161" s="15"/>
      <c r="HQ161" s="15"/>
      <c r="HR161" s="15"/>
      <c r="HS161" s="15"/>
      <c r="HT161" s="15"/>
      <c r="HU161" s="15"/>
      <c r="HV161" s="15"/>
      <c r="HW161" s="15"/>
      <c r="HX161" s="15"/>
      <c r="HY161" s="15"/>
      <c r="HZ161" s="15"/>
      <c r="IA161" s="15"/>
      <c r="IB161" s="15"/>
      <c r="IC161" s="15"/>
      <c r="ID161" s="15"/>
      <c r="IE161" s="15"/>
      <c r="IF161" s="15"/>
      <c r="IG161" s="15"/>
      <c r="IH161" s="15"/>
      <c r="II161" s="15"/>
      <c r="IJ161" s="15"/>
      <c r="IK161" s="15"/>
      <c r="IL161" s="15"/>
      <c r="IM161" s="15"/>
      <c r="IN161" s="15"/>
      <c r="IO161" s="15"/>
      <c r="IP161" s="15"/>
      <c r="IQ161" s="15"/>
      <c r="IR161" s="15"/>
      <c r="IS161" s="15"/>
      <c r="IT161" s="15"/>
      <c r="IU161" s="15"/>
      <c r="IV161" s="15"/>
      <c r="IW161" s="485"/>
      <c r="IX161" s="485"/>
      <c r="IY161" s="485"/>
    </row>
    <row r="162" spans="1:519" x14ac:dyDescent="0.3">
      <c r="A162" s="484"/>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15"/>
      <c r="BA162" s="15"/>
      <c r="BB162" s="15"/>
      <c r="BC162" s="15"/>
      <c r="BD162" s="15"/>
      <c r="BE162" s="15"/>
      <c r="BF162" s="15"/>
      <c r="BG162" s="15"/>
      <c r="BH162" s="15"/>
      <c r="BI162" s="15"/>
      <c r="BJ162" s="15"/>
      <c r="BK162" s="15"/>
      <c r="BL162" s="15"/>
      <c r="BM162" s="15"/>
      <c r="BN162" s="15"/>
      <c r="BO162" s="15"/>
      <c r="BP162" s="15"/>
      <c r="BQ162" s="15"/>
      <c r="BR162" s="15"/>
      <c r="BS162" s="15"/>
      <c r="BT162" s="15"/>
      <c r="BU162" s="15"/>
      <c r="BV162" s="15"/>
      <c r="BW162" s="15"/>
      <c r="BX162" s="15"/>
      <c r="BY162" s="15"/>
      <c r="BZ162" s="15"/>
      <c r="CA162" s="15"/>
      <c r="CB162" s="15"/>
      <c r="CC162" s="15"/>
      <c r="CD162" s="15"/>
      <c r="CE162" s="15"/>
      <c r="CF162" s="15"/>
      <c r="CG162" s="15"/>
      <c r="CH162" s="15"/>
      <c r="CI162" s="15"/>
      <c r="CJ162" s="15"/>
      <c r="CK162" s="15"/>
      <c r="CL162" s="15"/>
      <c r="CM162" s="15"/>
      <c r="CN162" s="15"/>
      <c r="CO162" s="15"/>
      <c r="CP162" s="15"/>
      <c r="CQ162" s="15"/>
      <c r="CR162" s="15"/>
      <c r="CS162" s="15"/>
      <c r="CT162" s="15"/>
      <c r="CU162" s="15"/>
      <c r="CV162" s="15"/>
      <c r="CW162" s="15"/>
      <c r="CX162" s="15"/>
      <c r="CY162" s="15"/>
      <c r="CZ162" s="15"/>
      <c r="DA162" s="15"/>
      <c r="DB162" s="15"/>
      <c r="DC162" s="15"/>
      <c r="DD162" s="15"/>
      <c r="DE162" s="15"/>
      <c r="DF162" s="15"/>
      <c r="DG162" s="15"/>
      <c r="DH162" s="15"/>
      <c r="DI162" s="15"/>
      <c r="DJ162" s="15"/>
      <c r="DK162" s="15"/>
      <c r="DL162" s="15"/>
      <c r="DM162" s="15"/>
      <c r="DN162" s="15"/>
      <c r="DO162" s="15"/>
      <c r="DP162" s="15"/>
      <c r="DQ162" s="15"/>
      <c r="DR162" s="15"/>
      <c r="DS162" s="15"/>
      <c r="DT162" s="15"/>
      <c r="DU162" s="15"/>
      <c r="DV162" s="15"/>
      <c r="DW162" s="15"/>
      <c r="DX162" s="15"/>
      <c r="DY162" s="15"/>
      <c r="DZ162" s="15"/>
      <c r="EA162" s="15"/>
      <c r="EB162" s="15"/>
      <c r="EC162" s="15"/>
      <c r="ED162" s="15"/>
      <c r="EE162" s="15"/>
      <c r="EF162" s="15"/>
      <c r="EG162" s="15"/>
      <c r="EH162" s="15"/>
      <c r="EI162" s="15"/>
      <c r="EJ162" s="15"/>
      <c r="EK162" s="15"/>
      <c r="EL162" s="15"/>
      <c r="EM162" s="15"/>
      <c r="EN162" s="15"/>
      <c r="EO162" s="15"/>
      <c r="EP162" s="15"/>
      <c r="EQ162" s="15"/>
      <c r="ER162" s="15"/>
      <c r="ES162" s="15"/>
      <c r="ET162" s="15"/>
      <c r="EU162" s="15"/>
      <c r="EV162" s="15"/>
      <c r="EW162" s="15"/>
      <c r="EX162" s="15"/>
      <c r="EY162" s="15"/>
      <c r="EZ162" s="15"/>
      <c r="FA162" s="15"/>
      <c r="FB162" s="15"/>
      <c r="FC162" s="15"/>
      <c r="FD162" s="15"/>
      <c r="FE162" s="15"/>
      <c r="FF162" s="15"/>
      <c r="FG162" s="15"/>
      <c r="FH162" s="15"/>
      <c r="FI162" s="15"/>
      <c r="FJ162" s="15"/>
      <c r="FK162" s="15"/>
      <c r="FL162" s="15"/>
      <c r="FM162" s="15"/>
      <c r="FN162" s="15"/>
      <c r="FO162" s="15"/>
      <c r="FP162" s="15"/>
      <c r="FQ162" s="15"/>
      <c r="FR162" s="15"/>
      <c r="FS162" s="15"/>
      <c r="FT162" s="15"/>
      <c r="FU162" s="15"/>
      <c r="FV162" s="15"/>
      <c r="FW162" s="15"/>
      <c r="FX162" s="15"/>
      <c r="FY162" s="15"/>
      <c r="FZ162" s="15"/>
      <c r="GA162" s="15"/>
      <c r="GB162" s="15"/>
      <c r="GC162" s="15"/>
      <c r="GD162" s="15"/>
      <c r="GE162" s="15"/>
      <c r="GF162" s="15"/>
      <c r="GG162" s="15"/>
      <c r="GH162" s="15"/>
      <c r="GI162" s="15"/>
      <c r="GJ162" s="15"/>
      <c r="GK162" s="15"/>
      <c r="GL162" s="15"/>
      <c r="GM162" s="15"/>
      <c r="GN162" s="15"/>
      <c r="GO162" s="15"/>
      <c r="GP162" s="15"/>
      <c r="GQ162" s="15"/>
      <c r="GR162" s="15"/>
      <c r="GS162" s="15"/>
      <c r="GT162" s="15"/>
      <c r="GU162" s="15"/>
      <c r="GV162" s="15"/>
      <c r="GW162" s="15"/>
      <c r="GX162" s="15"/>
      <c r="GY162" s="15"/>
      <c r="GZ162" s="15"/>
      <c r="HA162" s="15"/>
      <c r="HB162" s="15"/>
      <c r="HC162" s="15"/>
      <c r="HD162" s="15"/>
      <c r="HE162" s="15"/>
      <c r="HF162" s="15"/>
      <c r="HG162" s="15"/>
      <c r="HH162" s="15"/>
      <c r="HI162" s="15"/>
      <c r="HJ162" s="15"/>
      <c r="HK162" s="15"/>
      <c r="HL162" s="15"/>
      <c r="HM162" s="15"/>
      <c r="HN162" s="15"/>
      <c r="HO162" s="15"/>
      <c r="HP162" s="15"/>
      <c r="HQ162" s="15"/>
      <c r="HR162" s="15"/>
      <c r="HS162" s="15"/>
      <c r="HT162" s="15"/>
      <c r="HU162" s="15"/>
      <c r="HV162" s="15"/>
      <c r="HW162" s="15"/>
      <c r="HX162" s="15"/>
      <c r="HY162" s="15"/>
      <c r="HZ162" s="15"/>
      <c r="IA162" s="15"/>
      <c r="IB162" s="15"/>
      <c r="IC162" s="15"/>
      <c r="ID162" s="15"/>
      <c r="IE162" s="15"/>
      <c r="IF162" s="15"/>
      <c r="IG162" s="15"/>
      <c r="IH162" s="15"/>
      <c r="II162" s="15"/>
      <c r="IJ162" s="15"/>
      <c r="IK162" s="15"/>
      <c r="IL162" s="15"/>
      <c r="IM162" s="15"/>
      <c r="IN162" s="15"/>
      <c r="IO162" s="15"/>
      <c r="IP162" s="15"/>
      <c r="IQ162" s="15"/>
      <c r="IR162" s="15"/>
      <c r="IS162" s="15"/>
      <c r="IT162" s="15"/>
      <c r="IU162" s="15"/>
      <c r="IV162" s="15"/>
      <c r="IW162" s="485"/>
      <c r="IX162" s="485"/>
      <c r="IY162" s="485"/>
    </row>
    <row r="163" spans="1:519" x14ac:dyDescent="0.3">
      <c r="A163" s="484"/>
      <c r="B163" s="477"/>
      <c r="C163" s="477"/>
      <c r="D163" s="477"/>
      <c r="E163" s="477"/>
      <c r="F163" s="477"/>
      <c r="G163" s="477"/>
      <c r="H163" s="477"/>
      <c r="I163" s="477"/>
      <c r="J163" s="477"/>
      <c r="K163" s="477"/>
      <c r="L163" s="477"/>
      <c r="M163" s="477"/>
      <c r="N163" s="477"/>
      <c r="O163" s="477"/>
      <c r="P163" s="477"/>
      <c r="Q163" s="477"/>
      <c r="R163" s="477"/>
      <c r="S163" s="477"/>
      <c r="T163" s="477"/>
      <c r="U163" s="477"/>
      <c r="V163" s="477"/>
      <c r="W163" s="477"/>
      <c r="X163" s="477"/>
      <c r="Y163" s="477"/>
      <c r="Z163" s="477"/>
      <c r="AA163" s="477"/>
      <c r="AB163" s="477"/>
      <c r="AC163" s="477"/>
      <c r="AD163" s="477"/>
      <c r="AE163" s="477"/>
      <c r="AF163" s="477"/>
      <c r="AG163" s="477"/>
      <c r="AH163" s="477"/>
      <c r="AI163" s="477"/>
      <c r="AJ163" s="477"/>
      <c r="AK163" s="477"/>
      <c r="AL163" s="477"/>
      <c r="AM163" s="477"/>
      <c r="AN163" s="477"/>
      <c r="AO163" s="477"/>
      <c r="AP163" s="477"/>
      <c r="AQ163" s="477"/>
      <c r="AR163" s="477"/>
      <c r="AS163" s="477"/>
      <c r="AT163" s="477"/>
      <c r="AU163" s="477"/>
      <c r="AV163" s="477"/>
      <c r="AW163" s="477"/>
      <c r="AX163" s="477"/>
      <c r="AY163" s="477"/>
      <c r="AZ163" s="477"/>
      <c r="BA163" s="477"/>
      <c r="BB163" s="477"/>
      <c r="BC163" s="477"/>
      <c r="BD163" s="477"/>
      <c r="BE163" s="477"/>
      <c r="BF163" s="477"/>
      <c r="BG163" s="477"/>
      <c r="BH163" s="477"/>
      <c r="BI163" s="477"/>
      <c r="BJ163" s="477"/>
      <c r="BK163" s="477"/>
      <c r="BL163" s="477"/>
      <c r="BM163" s="477"/>
      <c r="BN163" s="477"/>
      <c r="BO163" s="477"/>
      <c r="BP163" s="477"/>
      <c r="BQ163" s="477"/>
      <c r="BR163" s="477"/>
      <c r="BS163" s="477"/>
      <c r="BT163" s="477"/>
      <c r="BU163" s="477"/>
      <c r="BV163" s="477"/>
      <c r="BW163" s="477"/>
      <c r="BX163" s="477"/>
      <c r="BY163" s="477"/>
      <c r="BZ163" s="477"/>
      <c r="CA163" s="477"/>
      <c r="CB163" s="477"/>
      <c r="CC163" s="477"/>
      <c r="CD163" s="477"/>
      <c r="CE163" s="477"/>
      <c r="CF163" s="477"/>
      <c r="CG163" s="477"/>
      <c r="CH163" s="477"/>
      <c r="CI163" s="477"/>
      <c r="CJ163" s="477"/>
      <c r="CK163" s="477"/>
      <c r="CL163" s="477"/>
      <c r="CM163" s="477"/>
      <c r="CN163" s="477"/>
      <c r="CO163" s="477"/>
      <c r="CP163" s="477"/>
      <c r="CQ163" s="477"/>
      <c r="CR163" s="477"/>
      <c r="CS163" s="477"/>
      <c r="CT163" s="477"/>
      <c r="CU163" s="477"/>
      <c r="CV163" s="477"/>
      <c r="CW163" s="477"/>
      <c r="CX163" s="477"/>
      <c r="CY163" s="477"/>
      <c r="CZ163" s="477"/>
      <c r="DA163" s="477"/>
      <c r="DB163" s="477"/>
      <c r="DC163" s="477"/>
      <c r="DD163" s="477"/>
      <c r="DE163" s="477"/>
      <c r="DF163" s="477"/>
      <c r="DG163" s="477"/>
      <c r="DH163" s="477"/>
      <c r="DI163" s="477"/>
      <c r="DJ163" s="477"/>
      <c r="DK163" s="477"/>
      <c r="DL163" s="477"/>
      <c r="DM163" s="477"/>
      <c r="DN163" s="477"/>
      <c r="DO163" s="477"/>
      <c r="DP163" s="477"/>
      <c r="DQ163" s="477"/>
      <c r="DR163" s="477"/>
      <c r="DS163" s="477"/>
      <c r="DT163" s="477"/>
      <c r="DU163" s="477"/>
      <c r="DV163" s="477"/>
      <c r="DW163" s="477"/>
      <c r="DX163" s="477"/>
      <c r="DY163" s="477"/>
      <c r="DZ163" s="477"/>
      <c r="EA163" s="477"/>
      <c r="EB163" s="477"/>
      <c r="EC163" s="477"/>
      <c r="ED163" s="477"/>
      <c r="EE163" s="477"/>
      <c r="EF163" s="477"/>
      <c r="EG163" s="477"/>
      <c r="EH163" s="477"/>
      <c r="EI163" s="477"/>
      <c r="EJ163" s="477"/>
      <c r="EK163" s="477"/>
      <c r="EL163" s="477"/>
      <c r="EM163" s="477"/>
      <c r="EN163" s="477"/>
      <c r="EO163" s="477"/>
      <c r="EP163" s="477"/>
      <c r="EQ163" s="477"/>
      <c r="ER163" s="477"/>
      <c r="ES163" s="477"/>
      <c r="ET163" s="477"/>
      <c r="EU163" s="477"/>
      <c r="EV163" s="477"/>
      <c r="EW163" s="477"/>
      <c r="EX163" s="477"/>
      <c r="EY163" s="477"/>
      <c r="EZ163" s="477"/>
      <c r="FA163" s="477"/>
      <c r="FB163" s="477"/>
      <c r="FC163" s="477"/>
      <c r="FD163" s="477"/>
      <c r="FE163" s="477"/>
      <c r="FF163" s="477"/>
      <c r="FG163" s="477"/>
      <c r="FH163" s="477"/>
      <c r="FI163" s="477"/>
      <c r="FJ163" s="477"/>
      <c r="FK163" s="477"/>
      <c r="FL163" s="477"/>
      <c r="FM163" s="477"/>
      <c r="FN163" s="477"/>
      <c r="FO163" s="477"/>
      <c r="FP163" s="477"/>
      <c r="FQ163" s="477"/>
      <c r="FR163" s="477"/>
      <c r="FS163" s="477"/>
      <c r="FT163" s="477"/>
      <c r="FU163" s="477"/>
      <c r="FV163" s="477"/>
      <c r="FW163" s="477"/>
      <c r="FX163" s="477"/>
      <c r="FY163" s="477"/>
      <c r="FZ163" s="477"/>
      <c r="GA163" s="477"/>
      <c r="GB163" s="477"/>
      <c r="GC163" s="477"/>
      <c r="GD163" s="477"/>
      <c r="GE163" s="477"/>
      <c r="GF163" s="477"/>
      <c r="GG163" s="477"/>
      <c r="GH163" s="477"/>
      <c r="GI163" s="477"/>
      <c r="GJ163" s="477"/>
      <c r="GK163" s="477"/>
      <c r="GL163" s="477"/>
      <c r="GM163" s="477"/>
      <c r="GN163" s="477"/>
      <c r="GO163" s="477"/>
      <c r="GP163" s="477"/>
      <c r="GQ163" s="477"/>
      <c r="GR163" s="477"/>
      <c r="GS163" s="477"/>
      <c r="GT163" s="477"/>
      <c r="GU163" s="477"/>
      <c r="GV163" s="477"/>
      <c r="GW163" s="477"/>
      <c r="GX163" s="477"/>
      <c r="GY163" s="477"/>
      <c r="GZ163" s="477"/>
      <c r="HA163" s="477"/>
      <c r="HB163" s="477"/>
      <c r="HC163" s="477"/>
      <c r="HD163" s="477"/>
      <c r="HE163" s="477"/>
      <c r="HF163" s="477"/>
      <c r="HG163" s="477"/>
      <c r="HH163" s="477"/>
      <c r="HI163" s="477"/>
      <c r="HJ163" s="477"/>
      <c r="HK163" s="477"/>
      <c r="HL163" s="477"/>
      <c r="HM163" s="477"/>
      <c r="HN163" s="477"/>
      <c r="HO163" s="477"/>
      <c r="HP163" s="477"/>
      <c r="HQ163" s="477"/>
      <c r="HR163" s="477"/>
      <c r="HS163" s="477"/>
      <c r="HT163" s="477"/>
      <c r="HU163" s="477"/>
      <c r="HV163" s="477"/>
      <c r="HW163" s="477"/>
      <c r="HX163" s="477"/>
      <c r="HY163" s="477"/>
      <c r="HZ163" s="477"/>
      <c r="IA163" s="477"/>
      <c r="IB163" s="477"/>
      <c r="IC163" s="477"/>
      <c r="ID163" s="477"/>
      <c r="IE163" s="477"/>
      <c r="IF163" s="477"/>
      <c r="IG163" s="477"/>
      <c r="IH163" s="477"/>
      <c r="II163" s="477"/>
      <c r="IJ163" s="477"/>
      <c r="IK163" s="477"/>
      <c r="IL163" s="477"/>
      <c r="IM163" s="477"/>
      <c r="IN163" s="477"/>
      <c r="IO163" s="477"/>
      <c r="IP163" s="477"/>
      <c r="IQ163" s="477"/>
      <c r="IR163" s="477"/>
      <c r="IS163" s="477"/>
      <c r="IT163" s="477"/>
      <c r="IU163" s="477"/>
      <c r="IV163" s="477"/>
      <c r="IW163" s="485"/>
      <c r="IX163" s="485"/>
      <c r="IY163" s="485"/>
    </row>
    <row r="164" spans="1:519" s="2" customFormat="1" x14ac:dyDescent="0.3">
      <c r="IN164" s="3"/>
      <c r="JF164" s="107"/>
      <c r="JG164" s="107"/>
      <c r="JH164"/>
      <c r="JI164"/>
      <c r="JJ164"/>
      <c r="JK164"/>
      <c r="JL164"/>
      <c r="JM164"/>
      <c r="JN164"/>
      <c r="JO164"/>
      <c r="JP164"/>
      <c r="JQ164"/>
      <c r="JR164"/>
      <c r="JS164"/>
      <c r="JT164"/>
      <c r="JU164"/>
      <c r="JV164"/>
      <c r="JW164"/>
      <c r="JX164"/>
      <c r="JY164"/>
      <c r="JZ164"/>
      <c r="KA164"/>
      <c r="KB164"/>
      <c r="KC164"/>
      <c r="KD164"/>
      <c r="KE164"/>
      <c r="KF164"/>
      <c r="KG164"/>
      <c r="KH164"/>
      <c r="KI164"/>
      <c r="KJ164"/>
      <c r="KK164"/>
      <c r="KL164"/>
      <c r="KM164"/>
      <c r="KN164"/>
      <c r="KO164"/>
      <c r="KP164"/>
      <c r="KQ164"/>
      <c r="KR164"/>
      <c r="KS164"/>
      <c r="KT164"/>
      <c r="KU164"/>
      <c r="KV164"/>
      <c r="KW164"/>
      <c r="KX164"/>
      <c r="KY164"/>
      <c r="KZ164"/>
      <c r="LA164"/>
      <c r="LB164"/>
      <c r="LC164"/>
      <c r="LD164"/>
      <c r="LE164"/>
      <c r="LF164"/>
      <c r="LG164"/>
      <c r="LH164"/>
      <c r="LI164"/>
      <c r="LJ164"/>
      <c r="LK164"/>
      <c r="LL164"/>
      <c r="LM164"/>
      <c r="LN164"/>
      <c r="LO164"/>
      <c r="LP164"/>
      <c r="LQ164"/>
      <c r="LR164"/>
      <c r="LS164"/>
      <c r="LT164"/>
      <c r="LU164"/>
      <c r="LV164"/>
      <c r="LW164"/>
      <c r="LX164"/>
      <c r="LY164"/>
      <c r="LZ164"/>
      <c r="MA164"/>
      <c r="MB164"/>
      <c r="MC164"/>
      <c r="MD164"/>
      <c r="ME164"/>
      <c r="MF164"/>
      <c r="MG164"/>
      <c r="MH164"/>
      <c r="MI164"/>
      <c r="MJ164"/>
      <c r="MK164"/>
      <c r="ML164"/>
      <c r="MM164"/>
      <c r="MN164"/>
      <c r="MO164"/>
      <c r="MP164"/>
      <c r="MQ164"/>
      <c r="MR164"/>
      <c r="MS164"/>
      <c r="MT164"/>
      <c r="MU164"/>
      <c r="MV164"/>
      <c r="MW164"/>
      <c r="MX164"/>
      <c r="MY164"/>
      <c r="MZ164"/>
      <c r="NA164"/>
      <c r="NB164"/>
      <c r="NC164"/>
      <c r="ND164"/>
      <c r="NE164"/>
      <c r="NF164"/>
      <c r="NG164"/>
      <c r="NH164"/>
      <c r="NI164"/>
      <c r="NJ164"/>
      <c r="NK164"/>
      <c r="NL164"/>
      <c r="NM164"/>
      <c r="NN164"/>
      <c r="NO164"/>
      <c r="NP164"/>
      <c r="NQ164"/>
      <c r="NR164"/>
      <c r="NS164"/>
      <c r="NT164"/>
      <c r="NU164"/>
      <c r="NV164"/>
      <c r="NW164"/>
      <c r="NX164"/>
      <c r="NY164"/>
      <c r="NZ164"/>
      <c r="OA164"/>
      <c r="OB164"/>
      <c r="OC164"/>
      <c r="OD164"/>
      <c r="OE164"/>
      <c r="OF164"/>
      <c r="OG164"/>
      <c r="OH164"/>
      <c r="OI164"/>
      <c r="OJ164"/>
      <c r="OK164"/>
      <c r="OL164"/>
      <c r="OM164"/>
      <c r="ON164"/>
      <c r="OO164"/>
      <c r="OP164"/>
      <c r="OQ164"/>
      <c r="OR164"/>
      <c r="OS164"/>
      <c r="OT164"/>
      <c r="OU164"/>
      <c r="OV164"/>
      <c r="OW164"/>
      <c r="OX164"/>
      <c r="OY164"/>
      <c r="OZ164"/>
      <c r="PA164"/>
      <c r="PB164"/>
      <c r="PC164"/>
      <c r="PD164"/>
      <c r="PE164"/>
      <c r="PF164"/>
      <c r="PG164"/>
      <c r="PH164"/>
      <c r="PI164"/>
      <c r="PJ164"/>
      <c r="PK164"/>
      <c r="PL164"/>
      <c r="PM164"/>
      <c r="PN164"/>
      <c r="PO164"/>
      <c r="PP164"/>
      <c r="PQ164"/>
      <c r="PR164"/>
      <c r="PS164"/>
      <c r="PT164"/>
      <c r="PU164"/>
      <c r="PV164"/>
      <c r="PW164"/>
      <c r="PX164"/>
      <c r="PY164"/>
      <c r="PZ164"/>
      <c r="QA164"/>
      <c r="QB164"/>
      <c r="QC164"/>
      <c r="QD164"/>
      <c r="QE164"/>
      <c r="QF164"/>
      <c r="QG164"/>
      <c r="QH164"/>
      <c r="QI164"/>
      <c r="QJ164"/>
      <c r="QK164"/>
      <c r="QL164"/>
      <c r="QM164"/>
      <c r="QN164"/>
      <c r="QO164"/>
      <c r="QP164"/>
      <c r="QQ164"/>
      <c r="QR164"/>
      <c r="QS164"/>
      <c r="QT164"/>
      <c r="QU164"/>
      <c r="QV164"/>
      <c r="QW164"/>
      <c r="QX164"/>
      <c r="QY164"/>
      <c r="QZ164"/>
      <c r="RA164"/>
      <c r="RB164"/>
      <c r="RC164"/>
      <c r="RD164"/>
      <c r="RE164"/>
      <c r="RF164"/>
      <c r="RG164"/>
      <c r="RH164"/>
      <c r="RI164"/>
      <c r="RJ164"/>
      <c r="RK164"/>
      <c r="RL164"/>
      <c r="RM164"/>
      <c r="RN164"/>
      <c r="RO164"/>
      <c r="RP164"/>
      <c r="RQ164"/>
      <c r="RR164"/>
      <c r="RS164"/>
      <c r="RT164"/>
      <c r="RU164"/>
      <c r="RV164"/>
      <c r="RW164"/>
      <c r="RX164"/>
      <c r="RY164"/>
      <c r="RZ164"/>
      <c r="SA164"/>
      <c r="SB164"/>
      <c r="SC164"/>
      <c r="SD164"/>
      <c r="SE164"/>
      <c r="SF164"/>
      <c r="SG164"/>
      <c r="SH164"/>
      <c r="SI164"/>
      <c r="SJ164"/>
      <c r="SK164"/>
      <c r="SL164"/>
      <c r="SM164"/>
      <c r="SN164"/>
      <c r="SO164"/>
      <c r="SP164"/>
      <c r="SQ164"/>
      <c r="SR164"/>
      <c r="SS164"/>
      <c r="ST164"/>
      <c r="SU164"/>
      <c r="SV164"/>
      <c r="SW164"/>
      <c r="SX164"/>
      <c r="SY164"/>
    </row>
    <row r="165" spans="1:519" s="2" customFormat="1" x14ac:dyDescent="0.3">
      <c r="IN165" s="3"/>
      <c r="JF165" s="107"/>
      <c r="JG165" s="107"/>
      <c r="JH165"/>
      <c r="JI165"/>
      <c r="JJ165"/>
      <c r="JK165"/>
      <c r="JL165"/>
      <c r="JM165"/>
      <c r="JN165"/>
      <c r="JO165"/>
      <c r="JP165"/>
      <c r="JQ165"/>
      <c r="JR165"/>
      <c r="JS165"/>
      <c r="JT165"/>
      <c r="JU165"/>
      <c r="JV165"/>
      <c r="JW165"/>
      <c r="JX165"/>
      <c r="JY165"/>
      <c r="JZ165"/>
      <c r="KA165"/>
      <c r="KB165"/>
      <c r="KC165"/>
      <c r="KD165"/>
      <c r="KE165"/>
      <c r="KF165"/>
      <c r="KG165"/>
      <c r="KH165"/>
      <c r="KI165"/>
      <c r="KJ165"/>
      <c r="KK165"/>
      <c r="KL165"/>
      <c r="KM165"/>
      <c r="KN165"/>
      <c r="KO165"/>
      <c r="KP165"/>
      <c r="KQ165"/>
      <c r="KR165"/>
      <c r="KS165"/>
      <c r="KT165"/>
      <c r="KU165"/>
      <c r="KV165"/>
      <c r="KW165"/>
      <c r="KX165"/>
      <c r="KY165"/>
      <c r="KZ165"/>
      <c r="LA165"/>
      <c r="LB165"/>
      <c r="LC165"/>
      <c r="LD165"/>
      <c r="LE165"/>
      <c r="LF165"/>
      <c r="LG165"/>
      <c r="LH165"/>
      <c r="LI165"/>
      <c r="LJ165"/>
      <c r="LK165"/>
      <c r="LL165"/>
      <c r="LM165"/>
      <c r="LN165"/>
      <c r="LO165"/>
      <c r="LP165"/>
      <c r="LQ165"/>
      <c r="LR165"/>
      <c r="LS165"/>
      <c r="LT165"/>
      <c r="LU165"/>
      <c r="LV165"/>
      <c r="LW165"/>
      <c r="LX165"/>
      <c r="LY165"/>
      <c r="LZ165"/>
      <c r="MA165"/>
      <c r="MB165"/>
      <c r="MC165"/>
      <c r="MD165"/>
      <c r="ME165"/>
      <c r="MF165"/>
      <c r="MG165"/>
      <c r="MH165"/>
      <c r="MI165"/>
      <c r="MJ165"/>
      <c r="MK165"/>
      <c r="ML165"/>
      <c r="MM165"/>
      <c r="MN165"/>
      <c r="MO165"/>
      <c r="MP165"/>
      <c r="MQ165"/>
      <c r="MR165"/>
      <c r="MS165"/>
      <c r="MT165"/>
      <c r="MU165"/>
      <c r="MV165"/>
      <c r="MW165"/>
      <c r="MX165"/>
      <c r="MY165"/>
      <c r="MZ165"/>
      <c r="NA165"/>
      <c r="NB165"/>
      <c r="NC165"/>
      <c r="ND165"/>
      <c r="NE165"/>
      <c r="NF165"/>
      <c r="NG165"/>
      <c r="NH165"/>
      <c r="NI165"/>
      <c r="NJ165"/>
      <c r="NK165"/>
      <c r="NL165"/>
      <c r="NM165"/>
      <c r="NN165"/>
      <c r="NO165"/>
      <c r="NP165"/>
      <c r="NQ165"/>
      <c r="NR165"/>
      <c r="NS165"/>
      <c r="NT165"/>
      <c r="NU165"/>
      <c r="NV165"/>
      <c r="NW165"/>
      <c r="NX165"/>
      <c r="NY165"/>
      <c r="NZ165"/>
      <c r="OA165"/>
      <c r="OB165"/>
      <c r="OC165"/>
      <c r="OD165"/>
      <c r="OE165"/>
      <c r="OF165"/>
      <c r="OG165"/>
      <c r="OH165"/>
      <c r="OI165"/>
      <c r="OJ165"/>
      <c r="OK165"/>
      <c r="OL165"/>
      <c r="OM165"/>
      <c r="ON165"/>
      <c r="OO165"/>
      <c r="OP165"/>
      <c r="OQ165"/>
      <c r="OR165"/>
      <c r="OS165"/>
      <c r="OT165"/>
      <c r="OU165"/>
      <c r="OV165"/>
      <c r="OW165"/>
      <c r="OX165"/>
      <c r="OY165"/>
      <c r="OZ165"/>
      <c r="PA165"/>
      <c r="PB165"/>
      <c r="PC165"/>
      <c r="PD165"/>
      <c r="PE165"/>
      <c r="PF165"/>
      <c r="PG165"/>
      <c r="PH165"/>
      <c r="PI165"/>
      <c r="PJ165"/>
      <c r="PK165"/>
      <c r="PL165"/>
      <c r="PM165"/>
      <c r="PN165"/>
      <c r="PO165"/>
      <c r="PP165"/>
      <c r="PQ165"/>
      <c r="PR165"/>
      <c r="PS165"/>
      <c r="PT165"/>
      <c r="PU165"/>
      <c r="PV165"/>
      <c r="PW165"/>
      <c r="PX165"/>
      <c r="PY165"/>
      <c r="PZ165"/>
      <c r="QA165"/>
      <c r="QB165"/>
      <c r="QC165"/>
      <c r="QD165"/>
      <c r="QE165"/>
      <c r="QF165"/>
      <c r="QG165"/>
      <c r="QH165"/>
      <c r="QI165"/>
      <c r="QJ165"/>
      <c r="QK165"/>
      <c r="QL165"/>
      <c r="QM165"/>
      <c r="QN165"/>
      <c r="QO165"/>
      <c r="QP165"/>
      <c r="QQ165"/>
      <c r="QR165"/>
      <c r="QS165"/>
      <c r="QT165"/>
      <c r="QU165"/>
      <c r="QV165"/>
      <c r="QW165"/>
      <c r="QX165"/>
      <c r="QY165"/>
      <c r="QZ165"/>
      <c r="RA165"/>
      <c r="RB165"/>
      <c r="RC165"/>
      <c r="RD165"/>
      <c r="RE165"/>
      <c r="RF165"/>
      <c r="RG165"/>
      <c r="RH165"/>
      <c r="RI165"/>
      <c r="RJ165"/>
      <c r="RK165"/>
      <c r="RL165"/>
      <c r="RM165"/>
      <c r="RN165"/>
      <c r="RO165"/>
      <c r="RP165"/>
      <c r="RQ165"/>
      <c r="RR165"/>
      <c r="RS165"/>
      <c r="RT165"/>
      <c r="RU165"/>
      <c r="RV165"/>
      <c r="RW165"/>
      <c r="RX165"/>
      <c r="RY165"/>
      <c r="RZ165"/>
      <c r="SA165"/>
      <c r="SB165"/>
      <c r="SC165"/>
      <c r="SD165"/>
      <c r="SE165"/>
      <c r="SF165"/>
      <c r="SG165"/>
      <c r="SH165"/>
      <c r="SI165"/>
      <c r="SJ165"/>
      <c r="SK165"/>
      <c r="SL165"/>
      <c r="SM165"/>
      <c r="SN165"/>
      <c r="SO165"/>
      <c r="SP165"/>
      <c r="SQ165"/>
      <c r="SR165"/>
      <c r="SS165"/>
      <c r="ST165"/>
      <c r="SU165"/>
      <c r="SV165"/>
      <c r="SW165"/>
      <c r="SX165"/>
      <c r="SY165"/>
    </row>
    <row r="166" spans="1:519" s="2" customFormat="1" x14ac:dyDescent="0.3">
      <c r="IN166" s="3"/>
      <c r="JF166" s="107"/>
      <c r="JG166" s="107"/>
      <c r="JH166"/>
      <c r="JI166"/>
      <c r="JJ166"/>
      <c r="JK166"/>
      <c r="JL166"/>
      <c r="JM166"/>
      <c r="JN166"/>
      <c r="JO166"/>
      <c r="JP166"/>
      <c r="JQ166"/>
      <c r="JR166"/>
      <c r="JS166"/>
      <c r="JT166"/>
      <c r="JU166"/>
      <c r="JV166"/>
      <c r="JW166"/>
      <c r="JX166"/>
      <c r="JY166"/>
      <c r="JZ166"/>
      <c r="KA166"/>
      <c r="KB166"/>
      <c r="KC166"/>
      <c r="KD166"/>
      <c r="KE166"/>
      <c r="KF166"/>
      <c r="KG166"/>
      <c r="KH166"/>
      <c r="KI166"/>
      <c r="KJ166"/>
      <c r="KK166"/>
      <c r="KL166"/>
      <c r="KM166"/>
      <c r="KN166"/>
      <c r="KO166"/>
      <c r="KP166"/>
      <c r="KQ166"/>
      <c r="KR166"/>
      <c r="KS166"/>
      <c r="KT166"/>
      <c r="KU166"/>
      <c r="KV166"/>
      <c r="KW166"/>
      <c r="KX166"/>
      <c r="KY166"/>
      <c r="KZ166"/>
      <c r="LA166"/>
      <c r="LB166"/>
      <c r="LC166"/>
      <c r="LD166"/>
      <c r="LE166"/>
      <c r="LF166"/>
      <c r="LG166"/>
      <c r="LH166"/>
      <c r="LI166"/>
      <c r="LJ166"/>
      <c r="LK166"/>
      <c r="LL166"/>
      <c r="LM166"/>
      <c r="LN166"/>
      <c r="LO166"/>
      <c r="LP166"/>
      <c r="LQ166"/>
      <c r="LR166"/>
      <c r="LS166"/>
      <c r="LT166"/>
      <c r="LU166"/>
      <c r="LV166"/>
      <c r="LW166"/>
      <c r="LX166"/>
      <c r="LY166"/>
      <c r="LZ166"/>
      <c r="MA166"/>
      <c r="MB166"/>
      <c r="MC166"/>
      <c r="MD166"/>
      <c r="ME166"/>
      <c r="MF166"/>
      <c r="MG166"/>
      <c r="MH166"/>
      <c r="MI166"/>
      <c r="MJ166"/>
      <c r="MK166"/>
      <c r="ML166"/>
      <c r="MM166"/>
      <c r="MN166"/>
      <c r="MO166"/>
      <c r="MP166"/>
      <c r="MQ166"/>
      <c r="MR166"/>
      <c r="MS166"/>
      <c r="MT166"/>
      <c r="MU166"/>
      <c r="MV166"/>
      <c r="MW166"/>
      <c r="MX166"/>
      <c r="MY166"/>
      <c r="MZ166"/>
      <c r="NA166"/>
      <c r="NB166"/>
      <c r="NC166"/>
      <c r="ND166"/>
      <c r="NE166"/>
      <c r="NF166"/>
      <c r="NG166"/>
      <c r="NH166"/>
      <c r="NI166"/>
      <c r="NJ166"/>
      <c r="NK166"/>
      <c r="NL166"/>
      <c r="NM166"/>
      <c r="NN166"/>
      <c r="NO166"/>
      <c r="NP166"/>
      <c r="NQ166"/>
      <c r="NR166"/>
      <c r="NS166"/>
      <c r="NT166"/>
      <c r="NU166"/>
      <c r="NV166"/>
      <c r="NW166"/>
      <c r="NX166"/>
      <c r="NY166"/>
      <c r="NZ166"/>
      <c r="OA166"/>
      <c r="OB166"/>
      <c r="OC166"/>
      <c r="OD166"/>
      <c r="OE166"/>
      <c r="OF166"/>
      <c r="OG166"/>
      <c r="OH166"/>
      <c r="OI166"/>
      <c r="OJ166"/>
      <c r="OK166"/>
      <c r="OL166"/>
      <c r="OM166"/>
      <c r="ON166"/>
      <c r="OO166"/>
      <c r="OP166"/>
      <c r="OQ166"/>
      <c r="OR166"/>
      <c r="OS166"/>
      <c r="OT166"/>
      <c r="OU166"/>
      <c r="OV166"/>
      <c r="OW166"/>
      <c r="OX166"/>
      <c r="OY166"/>
      <c r="OZ166"/>
      <c r="PA166"/>
      <c r="PB166"/>
      <c r="PC166"/>
      <c r="PD166"/>
      <c r="PE166"/>
      <c r="PF166"/>
      <c r="PG166"/>
      <c r="PH166"/>
      <c r="PI166"/>
      <c r="PJ166"/>
      <c r="PK166"/>
      <c r="PL166"/>
      <c r="PM166"/>
      <c r="PN166"/>
      <c r="PO166"/>
      <c r="PP166"/>
      <c r="PQ166"/>
      <c r="PR166"/>
      <c r="PS166"/>
      <c r="PT166"/>
      <c r="PU166"/>
      <c r="PV166"/>
      <c r="PW166"/>
      <c r="PX166"/>
      <c r="PY166"/>
      <c r="PZ166"/>
      <c r="QA166"/>
      <c r="QB166"/>
      <c r="QC166"/>
      <c r="QD166"/>
      <c r="QE166"/>
      <c r="QF166"/>
      <c r="QG166"/>
      <c r="QH166"/>
      <c r="QI166"/>
      <c r="QJ166"/>
      <c r="QK166"/>
      <c r="QL166"/>
      <c r="QM166"/>
      <c r="QN166"/>
      <c r="QO166"/>
      <c r="QP166"/>
      <c r="QQ166"/>
      <c r="QR166"/>
      <c r="QS166"/>
      <c r="QT166"/>
      <c r="QU166"/>
      <c r="QV166"/>
      <c r="QW166"/>
      <c r="QX166"/>
      <c r="QY166"/>
      <c r="QZ166"/>
      <c r="RA166"/>
      <c r="RB166"/>
      <c r="RC166"/>
      <c r="RD166"/>
      <c r="RE166"/>
      <c r="RF166"/>
      <c r="RG166"/>
      <c r="RH166"/>
      <c r="RI166"/>
      <c r="RJ166"/>
      <c r="RK166"/>
      <c r="RL166"/>
      <c r="RM166"/>
      <c r="RN166"/>
      <c r="RO166"/>
      <c r="RP166"/>
      <c r="RQ166"/>
      <c r="RR166"/>
      <c r="RS166"/>
      <c r="RT166"/>
      <c r="RU166"/>
      <c r="RV166"/>
      <c r="RW166"/>
      <c r="RX166"/>
      <c r="RY166"/>
      <c r="RZ166"/>
      <c r="SA166"/>
      <c r="SB166"/>
      <c r="SC166"/>
      <c r="SD166"/>
      <c r="SE166"/>
      <c r="SF166"/>
      <c r="SG166"/>
      <c r="SH166"/>
      <c r="SI166"/>
      <c r="SJ166"/>
      <c r="SK166"/>
      <c r="SL166"/>
      <c r="SM166"/>
      <c r="SN166"/>
      <c r="SO166"/>
      <c r="SP166"/>
      <c r="SQ166"/>
      <c r="SR166"/>
      <c r="SS166"/>
      <c r="ST166"/>
      <c r="SU166"/>
      <c r="SV166"/>
      <c r="SW166"/>
      <c r="SX166"/>
      <c r="SY166"/>
    </row>
    <row r="167" spans="1:519" x14ac:dyDescent="0.3">
      <c r="IH167" s="15"/>
      <c r="II167" s="15"/>
      <c r="IJ167" s="15"/>
      <c r="IK167" s="15"/>
      <c r="IL167" s="15"/>
      <c r="IM167" s="15"/>
      <c r="IN167" s="15"/>
      <c r="IO167" s="15"/>
      <c r="IP167" s="15"/>
      <c r="IQ167" s="15"/>
      <c r="IR167" s="15"/>
      <c r="IS167" s="15"/>
      <c r="IT167" s="15"/>
      <c r="IU167" s="15"/>
      <c r="IV167" s="15"/>
    </row>
    <row r="168" spans="1:519" s="3" customFormat="1" x14ac:dyDescent="0.3">
      <c r="AF168" s="486"/>
      <c r="AG168" s="486"/>
      <c r="AH168" s="486"/>
      <c r="AI168" s="486"/>
      <c r="AJ168" s="486"/>
      <c r="AK168" s="486"/>
      <c r="AL168" s="486"/>
      <c r="AM168" s="486"/>
      <c r="AN168" s="486"/>
      <c r="AO168" s="486"/>
      <c r="AP168" s="486"/>
      <c r="AQ168" s="486"/>
      <c r="AR168" s="486"/>
      <c r="AS168" s="486"/>
      <c r="AT168" s="486"/>
      <c r="AU168" s="486"/>
      <c r="AV168" s="486"/>
      <c r="AW168" s="486"/>
      <c r="AX168" s="486"/>
      <c r="AY168" s="486"/>
      <c r="AZ168" s="486"/>
      <c r="BA168" s="486"/>
      <c r="BB168" s="486"/>
      <c r="BC168" s="486"/>
      <c r="BD168" s="486"/>
      <c r="BE168" s="486"/>
      <c r="BF168" s="486"/>
      <c r="BG168" s="486"/>
      <c r="BH168" s="486"/>
      <c r="BI168" s="486"/>
      <c r="BJ168" s="486"/>
      <c r="BK168" s="486"/>
      <c r="BL168" s="486"/>
      <c r="BM168" s="486"/>
      <c r="BN168" s="486"/>
      <c r="BO168" s="486"/>
      <c r="BP168" s="486"/>
      <c r="BQ168" s="486"/>
      <c r="BR168" s="486"/>
      <c r="BS168" s="486"/>
      <c r="BT168" s="486"/>
      <c r="BU168" s="486"/>
      <c r="BV168" s="486"/>
      <c r="BW168" s="486"/>
      <c r="BX168" s="486"/>
      <c r="BY168" s="486"/>
      <c r="BZ168" s="486"/>
      <c r="CA168" s="486"/>
      <c r="CB168" s="486"/>
      <c r="CC168" s="486"/>
      <c r="CD168" s="486"/>
      <c r="CE168" s="486"/>
      <c r="CF168" s="486"/>
      <c r="CG168" s="486"/>
      <c r="CH168" s="486"/>
      <c r="CI168" s="486"/>
      <c r="CJ168" s="486"/>
      <c r="CK168" s="486"/>
      <c r="CL168" s="486"/>
      <c r="CM168" s="486"/>
      <c r="CN168" s="486"/>
      <c r="CO168" s="486"/>
      <c r="CP168" s="486"/>
      <c r="CQ168" s="486"/>
      <c r="CR168" s="486"/>
      <c r="CS168" s="486"/>
      <c r="CT168" s="486"/>
      <c r="CU168" s="486"/>
      <c r="CV168" s="486"/>
      <c r="CW168" s="486"/>
      <c r="CX168" s="486"/>
      <c r="CY168" s="486"/>
      <c r="CZ168" s="486"/>
      <c r="DA168" s="486"/>
      <c r="DB168" s="486"/>
      <c r="DC168" s="486"/>
      <c r="DD168" s="486"/>
      <c r="DE168" s="486"/>
      <c r="DF168" s="486"/>
      <c r="DG168" s="486"/>
      <c r="DH168" s="486"/>
      <c r="DI168" s="486"/>
      <c r="DJ168" s="486"/>
      <c r="DK168" s="486"/>
      <c r="DL168" s="486"/>
      <c r="DM168" s="486"/>
      <c r="DN168" s="486"/>
      <c r="DO168" s="486"/>
      <c r="DP168" s="486"/>
      <c r="DQ168" s="486"/>
      <c r="DR168" s="486"/>
      <c r="DS168" s="486"/>
      <c r="DT168" s="486"/>
      <c r="DU168" s="486"/>
      <c r="DV168" s="486"/>
      <c r="DW168" s="486"/>
      <c r="DX168" s="486"/>
      <c r="DY168" s="486"/>
      <c r="DZ168" s="486"/>
      <c r="EA168" s="486"/>
      <c r="EB168" s="486"/>
      <c r="EC168" s="486"/>
      <c r="ED168" s="486"/>
      <c r="EE168" s="486"/>
      <c r="EF168" s="486"/>
      <c r="EG168" s="486"/>
      <c r="EH168" s="486"/>
      <c r="EI168" s="486"/>
      <c r="EJ168" s="486"/>
      <c r="EK168" s="486"/>
      <c r="EL168" s="486"/>
      <c r="EM168" s="486"/>
      <c r="EN168" s="486"/>
      <c r="EO168" s="486"/>
      <c r="EP168" s="486"/>
      <c r="EQ168" s="486"/>
      <c r="ER168" s="486"/>
      <c r="ES168" s="486"/>
      <c r="ET168" s="486"/>
      <c r="EU168" s="486"/>
      <c r="EV168" s="486"/>
      <c r="EW168" s="486"/>
      <c r="EX168" s="486"/>
      <c r="EY168" s="486"/>
      <c r="EZ168" s="486"/>
      <c r="FA168" s="486"/>
      <c r="FB168" s="486"/>
      <c r="FC168" s="486"/>
      <c r="FD168" s="486"/>
      <c r="FE168" s="486"/>
      <c r="FF168" s="486"/>
      <c r="FG168" s="486"/>
      <c r="FH168" s="486"/>
      <c r="FI168" s="486"/>
      <c r="FJ168" s="486"/>
      <c r="FK168" s="486"/>
      <c r="FL168" s="486"/>
      <c r="FM168" s="486"/>
      <c r="FN168" s="486"/>
      <c r="FO168" s="486"/>
      <c r="FP168" s="486"/>
      <c r="FQ168" s="486"/>
      <c r="FR168" s="486"/>
      <c r="FS168" s="486"/>
      <c r="FT168" s="486"/>
      <c r="FU168" s="486"/>
      <c r="FV168" s="486"/>
      <c r="FW168" s="486"/>
      <c r="FX168" s="486"/>
      <c r="FY168" s="486"/>
      <c r="FZ168" s="486"/>
      <c r="GA168" s="486"/>
      <c r="GB168" s="486"/>
      <c r="GC168" s="486"/>
      <c r="GD168" s="486"/>
      <c r="GE168" s="486"/>
      <c r="GK168" s="486"/>
      <c r="JF168" s="107"/>
      <c r="JG168" s="107"/>
      <c r="JH168"/>
      <c r="JI168"/>
      <c r="JJ168"/>
      <c r="JK168"/>
      <c r="JL168"/>
      <c r="JM168"/>
      <c r="JN168"/>
      <c r="JO168"/>
      <c r="JP168"/>
      <c r="JQ168"/>
      <c r="JR168"/>
      <c r="JS168"/>
      <c r="JT168"/>
      <c r="JU168"/>
      <c r="JV168"/>
      <c r="JW168"/>
      <c r="JX168"/>
      <c r="JY168"/>
      <c r="JZ168"/>
      <c r="KA168"/>
      <c r="KB168"/>
      <c r="KC168"/>
      <c r="KD168"/>
      <c r="KE168"/>
      <c r="KF168"/>
      <c r="KG168"/>
      <c r="KH168"/>
      <c r="KI168"/>
      <c r="KJ168"/>
      <c r="KK168"/>
      <c r="KL168"/>
      <c r="KM168"/>
      <c r="KN168"/>
      <c r="KO168"/>
      <c r="KP168"/>
      <c r="KQ168"/>
      <c r="KR168"/>
      <c r="KS168"/>
      <c r="KT168"/>
      <c r="KU168"/>
      <c r="KV168"/>
      <c r="KW168"/>
      <c r="KX168"/>
      <c r="KY168"/>
      <c r="KZ168"/>
      <c r="LA168"/>
      <c r="LB168"/>
      <c r="LC168"/>
      <c r="LD168"/>
      <c r="LE168"/>
      <c r="LF168"/>
      <c r="LG168"/>
      <c r="LH168"/>
      <c r="LI168"/>
      <c r="LJ168"/>
      <c r="LK168"/>
      <c r="LL168"/>
      <c r="LM168"/>
      <c r="LN168"/>
      <c r="LO168"/>
      <c r="LP168"/>
      <c r="LQ168"/>
      <c r="LR168"/>
      <c r="LS168"/>
      <c r="LT168"/>
      <c r="LU168"/>
      <c r="LV168"/>
      <c r="LW168"/>
      <c r="LX168"/>
      <c r="LY168"/>
      <c r="LZ168"/>
      <c r="MA168"/>
      <c r="MB168"/>
      <c r="MC168"/>
      <c r="MD168"/>
      <c r="ME168"/>
      <c r="MF168"/>
      <c r="MG168"/>
      <c r="MH168"/>
      <c r="MI168"/>
      <c r="MJ168"/>
      <c r="MK168"/>
      <c r="ML168"/>
      <c r="MM168"/>
      <c r="MN168"/>
      <c r="MO168"/>
      <c r="MP168"/>
      <c r="MQ168"/>
      <c r="MR168"/>
      <c r="MS168"/>
      <c r="MT168"/>
      <c r="MU168"/>
      <c r="MV168"/>
      <c r="MW168"/>
      <c r="MX168"/>
      <c r="MY168"/>
      <c r="MZ168"/>
      <c r="NA168"/>
      <c r="NB168"/>
      <c r="NC168"/>
      <c r="ND168"/>
      <c r="NE168"/>
      <c r="NF168"/>
      <c r="NG168"/>
      <c r="NH168"/>
      <c r="NI168"/>
      <c r="NJ168"/>
      <c r="NK168"/>
      <c r="NL168"/>
      <c r="NM168"/>
      <c r="NN168"/>
      <c r="NO168"/>
      <c r="NP168"/>
      <c r="NQ168"/>
      <c r="NR168"/>
      <c r="NS168"/>
      <c r="NT168"/>
      <c r="NU168"/>
      <c r="NV168"/>
      <c r="NW168"/>
      <c r="NX168"/>
      <c r="NY168"/>
      <c r="NZ168"/>
      <c r="OA168"/>
      <c r="OB168"/>
      <c r="OC168"/>
      <c r="OD168"/>
      <c r="OE168"/>
      <c r="OF168"/>
      <c r="OG168"/>
      <c r="OH168"/>
      <c r="OI168"/>
      <c r="OJ168"/>
      <c r="OK168"/>
      <c r="OL168"/>
      <c r="OM168"/>
      <c r="ON168"/>
      <c r="OO168"/>
      <c r="OP168"/>
      <c r="OQ168"/>
      <c r="OR168"/>
      <c r="OS168"/>
      <c r="OT168"/>
      <c r="OU168"/>
      <c r="OV168"/>
      <c r="OW168"/>
      <c r="OX168"/>
      <c r="OY168"/>
      <c r="OZ168"/>
      <c r="PA168"/>
      <c r="PB168"/>
      <c r="PC168"/>
      <c r="PD168"/>
      <c r="PE168"/>
      <c r="PF168"/>
      <c r="PG168"/>
      <c r="PH168"/>
      <c r="PI168"/>
      <c r="PJ168"/>
      <c r="PK168"/>
      <c r="PL168"/>
      <c r="PM168"/>
      <c r="PN168"/>
      <c r="PO168"/>
      <c r="PP168"/>
      <c r="PQ168"/>
      <c r="PR168"/>
      <c r="PS168"/>
      <c r="PT168"/>
      <c r="PU168"/>
      <c r="PV168"/>
      <c r="PW168"/>
      <c r="PX168"/>
      <c r="PY168"/>
      <c r="PZ168"/>
      <c r="QA168"/>
      <c r="QB168"/>
      <c r="QC168"/>
      <c r="QD168"/>
      <c r="QE168"/>
      <c r="QF168"/>
      <c r="QG168"/>
      <c r="QH168"/>
      <c r="QI168"/>
      <c r="QJ168"/>
      <c r="QK168"/>
      <c r="QL168"/>
      <c r="QM168"/>
      <c r="QN168"/>
      <c r="QO168"/>
      <c r="QP168"/>
      <c r="QQ168"/>
      <c r="QR168"/>
      <c r="QS168"/>
      <c r="QT168"/>
      <c r="QU168"/>
      <c r="QV168"/>
      <c r="QW168"/>
      <c r="QX168"/>
      <c r="QY168"/>
      <c r="QZ168"/>
      <c r="RA168"/>
      <c r="RB168"/>
      <c r="RC168"/>
      <c r="RD168"/>
      <c r="RE168"/>
      <c r="RF168"/>
      <c r="RG168"/>
      <c r="RH168"/>
      <c r="RI168"/>
      <c r="RJ168"/>
      <c r="RK168"/>
      <c r="RL168"/>
      <c r="RM168"/>
      <c r="RN168"/>
      <c r="RO168"/>
      <c r="RP168"/>
      <c r="RQ168"/>
      <c r="RR168"/>
      <c r="RS168"/>
      <c r="RT168"/>
      <c r="RU168"/>
      <c r="RV168"/>
      <c r="RW168"/>
      <c r="RX168"/>
      <c r="RY168"/>
      <c r="RZ168"/>
      <c r="SA168"/>
      <c r="SB168"/>
      <c r="SC168"/>
      <c r="SD168"/>
      <c r="SE168"/>
      <c r="SF168"/>
      <c r="SG168"/>
      <c r="SH168"/>
      <c r="SI168"/>
      <c r="SJ168"/>
      <c r="SK168"/>
      <c r="SL168"/>
      <c r="SM168"/>
      <c r="SN168"/>
      <c r="SO168"/>
      <c r="SP168"/>
      <c r="SQ168"/>
      <c r="SR168"/>
      <c r="SS168"/>
      <c r="ST168"/>
      <c r="SU168"/>
      <c r="SV168"/>
      <c r="SW168"/>
      <c r="SX168"/>
      <c r="SY168"/>
    </row>
    <row r="169" spans="1:519" s="3" customFormat="1" x14ac:dyDescent="0.3">
      <c r="JF169" s="107"/>
      <c r="JG169" s="107"/>
      <c r="JH169"/>
      <c r="JI169"/>
      <c r="JJ169"/>
      <c r="JK169"/>
      <c r="JL169"/>
      <c r="JM169"/>
      <c r="JN169"/>
      <c r="JO169"/>
      <c r="JP169"/>
      <c r="JQ169"/>
      <c r="JR169"/>
      <c r="JS169"/>
      <c r="JT169"/>
      <c r="JU169"/>
      <c r="JV169"/>
      <c r="JW169"/>
      <c r="JX169"/>
      <c r="JY169"/>
      <c r="JZ169"/>
      <c r="KA169"/>
      <c r="KB169"/>
      <c r="KC169"/>
      <c r="KD169"/>
      <c r="KE169"/>
      <c r="KF169"/>
      <c r="KG169"/>
      <c r="KH169"/>
      <c r="KI169"/>
      <c r="KJ169"/>
      <c r="KK169"/>
      <c r="KL169"/>
      <c r="KM169"/>
      <c r="KN169"/>
      <c r="KO169"/>
      <c r="KP169"/>
      <c r="KQ169"/>
      <c r="KR169"/>
      <c r="KS169"/>
      <c r="KT169"/>
      <c r="KU169"/>
      <c r="KV169"/>
      <c r="KW169"/>
      <c r="KX169"/>
      <c r="KY169"/>
      <c r="KZ169"/>
      <c r="LA169"/>
      <c r="LB169"/>
      <c r="LC169"/>
      <c r="LD169"/>
      <c r="LE169"/>
      <c r="LF169"/>
      <c r="LG169"/>
      <c r="LH169"/>
      <c r="LI169"/>
      <c r="LJ169"/>
      <c r="LK169"/>
      <c r="LL169"/>
      <c r="LM169"/>
      <c r="LN169"/>
      <c r="LO169"/>
      <c r="LP169"/>
      <c r="LQ169"/>
      <c r="LR169"/>
      <c r="LS169"/>
      <c r="LT169"/>
      <c r="LU169"/>
      <c r="LV169"/>
      <c r="LW169"/>
      <c r="LX169"/>
      <c r="LY169"/>
      <c r="LZ169"/>
      <c r="MA169"/>
      <c r="MB169"/>
      <c r="MC169"/>
      <c r="MD169"/>
      <c r="ME169"/>
      <c r="MF169"/>
      <c r="MG169"/>
      <c r="MH169"/>
      <c r="MI169"/>
      <c r="MJ169"/>
      <c r="MK169"/>
      <c r="ML169"/>
      <c r="MM169"/>
      <c r="MN169"/>
      <c r="MO169"/>
      <c r="MP169"/>
      <c r="MQ169"/>
      <c r="MR169"/>
      <c r="MS169"/>
      <c r="MT169"/>
      <c r="MU169"/>
      <c r="MV169"/>
      <c r="MW169"/>
      <c r="MX169"/>
      <c r="MY169"/>
      <c r="MZ169"/>
      <c r="NA169"/>
      <c r="NB169"/>
      <c r="NC169"/>
      <c r="ND169"/>
      <c r="NE169"/>
      <c r="NF169"/>
      <c r="NG169"/>
      <c r="NH169"/>
      <c r="NI169"/>
      <c r="NJ169"/>
      <c r="NK169"/>
      <c r="NL169"/>
      <c r="NM169"/>
      <c r="NN169"/>
      <c r="NO169"/>
      <c r="NP169"/>
      <c r="NQ169"/>
      <c r="NR169"/>
      <c r="NS169"/>
      <c r="NT169"/>
      <c r="NU169"/>
      <c r="NV169"/>
      <c r="NW169"/>
      <c r="NX169"/>
      <c r="NY169"/>
      <c r="NZ169"/>
      <c r="OA169"/>
      <c r="OB169"/>
      <c r="OC169"/>
      <c r="OD169"/>
      <c r="OE169"/>
      <c r="OF169"/>
      <c r="OG169"/>
      <c r="OH169"/>
      <c r="OI169"/>
      <c r="OJ169"/>
      <c r="OK169"/>
      <c r="OL169"/>
      <c r="OM169"/>
      <c r="ON169"/>
      <c r="OO169"/>
      <c r="OP169"/>
      <c r="OQ169"/>
      <c r="OR169"/>
      <c r="OS169"/>
      <c r="OT169"/>
      <c r="OU169"/>
      <c r="OV169"/>
      <c r="OW169"/>
      <c r="OX169"/>
      <c r="OY169"/>
      <c r="OZ169"/>
      <c r="PA169"/>
      <c r="PB169"/>
      <c r="PC169"/>
      <c r="PD169"/>
      <c r="PE169"/>
      <c r="PF169"/>
      <c r="PG169"/>
      <c r="PH169"/>
      <c r="PI169"/>
      <c r="PJ169"/>
      <c r="PK169"/>
      <c r="PL169"/>
      <c r="PM169"/>
      <c r="PN169"/>
      <c r="PO169"/>
      <c r="PP169"/>
      <c r="PQ169"/>
      <c r="PR169"/>
      <c r="PS169"/>
      <c r="PT169"/>
      <c r="PU169"/>
      <c r="PV169"/>
      <c r="PW169"/>
      <c r="PX169"/>
      <c r="PY169"/>
      <c r="PZ169"/>
      <c r="QA169"/>
      <c r="QB169"/>
      <c r="QC169"/>
      <c r="QD169"/>
      <c r="QE169"/>
      <c r="QF169"/>
      <c r="QG169"/>
      <c r="QH169"/>
      <c r="QI169"/>
      <c r="QJ169"/>
      <c r="QK169"/>
      <c r="QL169"/>
      <c r="QM169"/>
      <c r="QN169"/>
      <c r="QO169"/>
      <c r="QP169"/>
      <c r="QQ169"/>
      <c r="QR169"/>
      <c r="QS169"/>
      <c r="QT169"/>
      <c r="QU169"/>
      <c r="QV169"/>
      <c r="QW169"/>
      <c r="QX169"/>
      <c r="QY169"/>
      <c r="QZ169"/>
      <c r="RA169"/>
      <c r="RB169"/>
      <c r="RC169"/>
      <c r="RD169"/>
      <c r="RE169"/>
      <c r="RF169"/>
      <c r="RG169"/>
      <c r="RH169"/>
      <c r="RI169"/>
      <c r="RJ169"/>
      <c r="RK169"/>
      <c r="RL169"/>
      <c r="RM169"/>
      <c r="RN169"/>
      <c r="RO169"/>
      <c r="RP169"/>
      <c r="RQ169"/>
      <c r="RR169"/>
      <c r="RS169"/>
      <c r="RT169"/>
      <c r="RU169"/>
      <c r="RV169"/>
      <c r="RW169"/>
      <c r="RX169"/>
      <c r="RY169"/>
      <c r="RZ169"/>
      <c r="SA169"/>
      <c r="SB169"/>
      <c r="SC169"/>
      <c r="SD169"/>
      <c r="SE169"/>
      <c r="SF169"/>
      <c r="SG169"/>
      <c r="SH169"/>
      <c r="SI169"/>
      <c r="SJ169"/>
      <c r="SK169"/>
      <c r="SL169"/>
      <c r="SM169"/>
      <c r="SN169"/>
      <c r="SO169"/>
      <c r="SP169"/>
      <c r="SQ169"/>
      <c r="SR169"/>
      <c r="SS169"/>
      <c r="ST169"/>
      <c r="SU169"/>
      <c r="SV169"/>
      <c r="SW169"/>
      <c r="SX169"/>
      <c r="SY169"/>
    </row>
    <row r="170" spans="1:519" s="3" customFormat="1" x14ac:dyDescent="0.3">
      <c r="AF170" s="486"/>
      <c r="AG170" s="486"/>
      <c r="AH170" s="486"/>
      <c r="AI170" s="486"/>
      <c r="JF170" s="107"/>
      <c r="JG170" s="107"/>
      <c r="JH170"/>
      <c r="JI170"/>
      <c r="JJ170"/>
      <c r="JK170"/>
      <c r="JL170"/>
      <c r="JM170"/>
      <c r="JN170"/>
      <c r="JO170"/>
      <c r="JP170"/>
      <c r="JQ170"/>
      <c r="JR170"/>
      <c r="JS170"/>
      <c r="JT170"/>
      <c r="JU170"/>
      <c r="JV170"/>
      <c r="JW170"/>
      <c r="JX170"/>
      <c r="JY170"/>
      <c r="JZ170"/>
      <c r="KA170"/>
      <c r="KB170"/>
      <c r="KC170"/>
      <c r="KD170"/>
      <c r="KE170"/>
      <c r="KF170"/>
      <c r="KG170"/>
      <c r="KH170"/>
      <c r="KI170"/>
      <c r="KJ170"/>
      <c r="KK170"/>
      <c r="KL170"/>
      <c r="KM170"/>
      <c r="KN170"/>
      <c r="KO170"/>
      <c r="KP170"/>
      <c r="KQ170"/>
      <c r="KR170"/>
      <c r="KS170"/>
      <c r="KT170"/>
      <c r="KU170"/>
      <c r="KV170"/>
      <c r="KW170"/>
      <c r="KX170"/>
      <c r="KY170"/>
      <c r="KZ170"/>
      <c r="LA170"/>
      <c r="LB170"/>
      <c r="LC170"/>
      <c r="LD170"/>
      <c r="LE170"/>
      <c r="LF170"/>
      <c r="LG170"/>
      <c r="LH170"/>
      <c r="LI170"/>
      <c r="LJ170"/>
      <c r="LK170"/>
      <c r="LL170"/>
      <c r="LM170"/>
      <c r="LN170"/>
      <c r="LO170"/>
      <c r="LP170"/>
      <c r="LQ170"/>
      <c r="LR170"/>
      <c r="LS170"/>
      <c r="LT170"/>
      <c r="LU170"/>
      <c r="LV170"/>
      <c r="LW170"/>
      <c r="LX170"/>
      <c r="LY170"/>
      <c r="LZ170"/>
      <c r="MA170"/>
      <c r="MB170"/>
      <c r="MC170"/>
      <c r="MD170"/>
      <c r="ME170"/>
      <c r="MF170"/>
      <c r="MG170"/>
      <c r="MH170"/>
      <c r="MI170"/>
      <c r="MJ170"/>
      <c r="MK170"/>
      <c r="ML170"/>
      <c r="MM170"/>
      <c r="MN170"/>
      <c r="MO170"/>
      <c r="MP170"/>
      <c r="MQ170"/>
      <c r="MR170"/>
      <c r="MS170"/>
      <c r="MT170"/>
      <c r="MU170"/>
      <c r="MV170"/>
      <c r="MW170"/>
      <c r="MX170"/>
      <c r="MY170"/>
      <c r="MZ170"/>
      <c r="NA170"/>
      <c r="NB170"/>
      <c r="NC170"/>
      <c r="ND170"/>
      <c r="NE170"/>
      <c r="NF170"/>
      <c r="NG170"/>
      <c r="NH170"/>
      <c r="NI170"/>
      <c r="NJ170"/>
      <c r="NK170"/>
      <c r="NL170"/>
      <c r="NM170"/>
      <c r="NN170"/>
      <c r="NO170"/>
      <c r="NP170"/>
      <c r="NQ170"/>
      <c r="NR170"/>
      <c r="NS170"/>
      <c r="NT170"/>
      <c r="NU170"/>
      <c r="NV170"/>
      <c r="NW170"/>
      <c r="NX170"/>
      <c r="NY170"/>
      <c r="NZ170"/>
      <c r="OA170"/>
      <c r="OB170"/>
      <c r="OC170"/>
      <c r="OD170"/>
      <c r="OE170"/>
      <c r="OF170"/>
      <c r="OG170"/>
      <c r="OH170"/>
      <c r="OI170"/>
      <c r="OJ170"/>
      <c r="OK170"/>
      <c r="OL170"/>
      <c r="OM170"/>
      <c r="ON170"/>
      <c r="OO170"/>
      <c r="OP170"/>
      <c r="OQ170"/>
      <c r="OR170"/>
      <c r="OS170"/>
      <c r="OT170"/>
      <c r="OU170"/>
      <c r="OV170"/>
      <c r="OW170"/>
      <c r="OX170"/>
      <c r="OY170"/>
      <c r="OZ170"/>
      <c r="PA170"/>
      <c r="PB170"/>
      <c r="PC170"/>
      <c r="PD170"/>
      <c r="PE170"/>
      <c r="PF170"/>
      <c r="PG170"/>
      <c r="PH170"/>
      <c r="PI170"/>
      <c r="PJ170"/>
      <c r="PK170"/>
      <c r="PL170"/>
      <c r="PM170"/>
      <c r="PN170"/>
      <c r="PO170"/>
      <c r="PP170"/>
      <c r="PQ170"/>
      <c r="PR170"/>
      <c r="PS170"/>
      <c r="PT170"/>
      <c r="PU170"/>
      <c r="PV170"/>
      <c r="PW170"/>
      <c r="PX170"/>
      <c r="PY170"/>
      <c r="PZ170"/>
      <c r="QA170"/>
      <c r="QB170"/>
      <c r="QC170"/>
      <c r="QD170"/>
      <c r="QE170"/>
      <c r="QF170"/>
      <c r="QG170"/>
      <c r="QH170"/>
      <c r="QI170"/>
      <c r="QJ170"/>
      <c r="QK170"/>
      <c r="QL170"/>
      <c r="QM170"/>
      <c r="QN170"/>
      <c r="QO170"/>
      <c r="QP170"/>
      <c r="QQ170"/>
      <c r="QR170"/>
      <c r="QS170"/>
      <c r="QT170"/>
      <c r="QU170"/>
      <c r="QV170"/>
      <c r="QW170"/>
      <c r="QX170"/>
      <c r="QY170"/>
      <c r="QZ170"/>
      <c r="RA170"/>
      <c r="RB170"/>
      <c r="RC170"/>
      <c r="RD170"/>
      <c r="RE170"/>
      <c r="RF170"/>
      <c r="RG170"/>
      <c r="RH170"/>
      <c r="RI170"/>
      <c r="RJ170"/>
      <c r="RK170"/>
      <c r="RL170"/>
      <c r="RM170"/>
      <c r="RN170"/>
      <c r="RO170"/>
      <c r="RP170"/>
      <c r="RQ170"/>
      <c r="RR170"/>
      <c r="RS170"/>
      <c r="RT170"/>
      <c r="RU170"/>
      <c r="RV170"/>
      <c r="RW170"/>
      <c r="RX170"/>
      <c r="RY170"/>
      <c r="RZ170"/>
      <c r="SA170"/>
      <c r="SB170"/>
      <c r="SC170"/>
      <c r="SD170"/>
      <c r="SE170"/>
      <c r="SF170"/>
      <c r="SG170"/>
      <c r="SH170"/>
      <c r="SI170"/>
      <c r="SJ170"/>
      <c r="SK170"/>
      <c r="SL170"/>
      <c r="SM170"/>
      <c r="SN170"/>
      <c r="SO170"/>
      <c r="SP170"/>
      <c r="SQ170"/>
      <c r="SR170"/>
      <c r="SS170"/>
      <c r="ST170"/>
      <c r="SU170"/>
      <c r="SV170"/>
      <c r="SW170"/>
      <c r="SX170"/>
      <c r="SY170"/>
    </row>
    <row r="171" spans="1:519" s="3" customFormat="1" x14ac:dyDescent="0.3">
      <c r="JF171" s="107"/>
      <c r="JG171" s="107"/>
      <c r="JH171"/>
      <c r="JI171"/>
      <c r="JJ171"/>
      <c r="JK171"/>
      <c r="JL171"/>
      <c r="JM171"/>
      <c r="JN171"/>
      <c r="JO171"/>
      <c r="JP171"/>
      <c r="JQ171"/>
      <c r="JR171"/>
      <c r="JS171"/>
      <c r="JT171"/>
      <c r="JU171"/>
      <c r="JV171"/>
      <c r="JW171"/>
      <c r="JX171"/>
      <c r="JY171"/>
      <c r="JZ171"/>
      <c r="KA171"/>
      <c r="KB171"/>
      <c r="KC171"/>
      <c r="KD171"/>
      <c r="KE171"/>
      <c r="KF171"/>
      <c r="KG171"/>
      <c r="KH171"/>
      <c r="KI171"/>
      <c r="KJ171"/>
      <c r="KK171"/>
      <c r="KL171"/>
      <c r="KM171"/>
      <c r="KN171"/>
      <c r="KO171"/>
      <c r="KP171"/>
      <c r="KQ171"/>
      <c r="KR171"/>
      <c r="KS171"/>
      <c r="KT171"/>
      <c r="KU171"/>
      <c r="KV171"/>
      <c r="KW171"/>
      <c r="KX171"/>
      <c r="KY171"/>
      <c r="KZ171"/>
      <c r="LA171"/>
      <c r="LB171"/>
      <c r="LC171"/>
      <c r="LD171"/>
      <c r="LE171"/>
      <c r="LF171"/>
      <c r="LG171"/>
      <c r="LH171"/>
      <c r="LI171"/>
      <c r="LJ171"/>
      <c r="LK171"/>
      <c r="LL171"/>
      <c r="LM171"/>
      <c r="LN171"/>
      <c r="LO171"/>
      <c r="LP171"/>
      <c r="LQ171"/>
      <c r="LR171"/>
      <c r="LS171"/>
      <c r="LT171"/>
      <c r="LU171"/>
      <c r="LV171"/>
      <c r="LW171"/>
      <c r="LX171"/>
      <c r="LY171"/>
      <c r="LZ171"/>
      <c r="MA171"/>
      <c r="MB171"/>
      <c r="MC171"/>
      <c r="MD171"/>
      <c r="ME171"/>
      <c r="MF171"/>
      <c r="MG171"/>
      <c r="MH171"/>
      <c r="MI171"/>
      <c r="MJ171"/>
      <c r="MK171"/>
      <c r="ML171"/>
      <c r="MM171"/>
      <c r="MN171"/>
      <c r="MO171"/>
      <c r="MP171"/>
      <c r="MQ171"/>
      <c r="MR171"/>
      <c r="MS171"/>
      <c r="MT171"/>
      <c r="MU171"/>
      <c r="MV171"/>
      <c r="MW171"/>
      <c r="MX171"/>
      <c r="MY171"/>
      <c r="MZ171"/>
      <c r="NA171"/>
      <c r="NB171"/>
      <c r="NC171"/>
      <c r="ND171"/>
      <c r="NE171"/>
      <c r="NF171"/>
      <c r="NG171"/>
      <c r="NH171"/>
      <c r="NI171"/>
      <c r="NJ171"/>
      <c r="NK171"/>
      <c r="NL171"/>
      <c r="NM171"/>
      <c r="NN171"/>
      <c r="NO171"/>
      <c r="NP171"/>
      <c r="NQ171"/>
      <c r="NR171"/>
      <c r="NS171"/>
      <c r="NT171"/>
      <c r="NU171"/>
      <c r="NV171"/>
      <c r="NW171"/>
      <c r="NX171"/>
      <c r="NY171"/>
      <c r="NZ171"/>
      <c r="OA171"/>
      <c r="OB171"/>
      <c r="OC171"/>
      <c r="OD171"/>
      <c r="OE171"/>
      <c r="OF171"/>
      <c r="OG171"/>
      <c r="OH171"/>
      <c r="OI171"/>
      <c r="OJ171"/>
      <c r="OK171"/>
      <c r="OL171"/>
      <c r="OM171"/>
      <c r="ON171"/>
      <c r="OO171"/>
      <c r="OP171"/>
      <c r="OQ171"/>
      <c r="OR171"/>
      <c r="OS171"/>
      <c r="OT171"/>
      <c r="OU171"/>
      <c r="OV171"/>
      <c r="OW171"/>
      <c r="OX171"/>
      <c r="OY171"/>
      <c r="OZ171"/>
      <c r="PA171"/>
      <c r="PB171"/>
      <c r="PC171"/>
      <c r="PD171"/>
      <c r="PE171"/>
      <c r="PF171"/>
      <c r="PG171"/>
      <c r="PH171"/>
      <c r="PI171"/>
      <c r="PJ171"/>
      <c r="PK171"/>
      <c r="PL171"/>
      <c r="PM171"/>
      <c r="PN171"/>
      <c r="PO171"/>
      <c r="PP171"/>
      <c r="PQ171"/>
      <c r="PR171"/>
      <c r="PS171"/>
      <c r="PT171"/>
      <c r="PU171"/>
      <c r="PV171"/>
      <c r="PW171"/>
      <c r="PX171"/>
      <c r="PY171"/>
      <c r="PZ171"/>
      <c r="QA171"/>
      <c r="QB171"/>
      <c r="QC171"/>
      <c r="QD171"/>
      <c r="QE171"/>
      <c r="QF171"/>
      <c r="QG171"/>
      <c r="QH171"/>
      <c r="QI171"/>
      <c r="QJ171"/>
      <c r="QK171"/>
      <c r="QL171"/>
      <c r="QM171"/>
      <c r="QN171"/>
      <c r="QO171"/>
      <c r="QP171"/>
      <c r="QQ171"/>
      <c r="QR171"/>
      <c r="QS171"/>
      <c r="QT171"/>
      <c r="QU171"/>
      <c r="QV171"/>
      <c r="QW171"/>
      <c r="QX171"/>
      <c r="QY171"/>
      <c r="QZ171"/>
      <c r="RA171"/>
      <c r="RB171"/>
      <c r="RC171"/>
      <c r="RD171"/>
      <c r="RE171"/>
      <c r="RF171"/>
      <c r="RG171"/>
      <c r="RH171"/>
      <c r="RI171"/>
      <c r="RJ171"/>
      <c r="RK171"/>
      <c r="RL171"/>
      <c r="RM171"/>
      <c r="RN171"/>
      <c r="RO171"/>
      <c r="RP171"/>
      <c r="RQ171"/>
      <c r="RR171"/>
      <c r="RS171"/>
      <c r="RT171"/>
      <c r="RU171"/>
      <c r="RV171"/>
      <c r="RW171"/>
      <c r="RX171"/>
      <c r="RY171"/>
      <c r="RZ171"/>
      <c r="SA171"/>
      <c r="SB171"/>
      <c r="SC171"/>
      <c r="SD171"/>
      <c r="SE171"/>
      <c r="SF171"/>
      <c r="SG171"/>
      <c r="SH171"/>
      <c r="SI171"/>
      <c r="SJ171"/>
      <c r="SK171"/>
      <c r="SL171"/>
      <c r="SM171"/>
      <c r="SN171"/>
      <c r="SO171"/>
      <c r="SP171"/>
      <c r="SQ171"/>
      <c r="SR171"/>
      <c r="SS171"/>
      <c r="ST171"/>
      <c r="SU171"/>
      <c r="SV171"/>
      <c r="SW171"/>
      <c r="SX171"/>
      <c r="SY171"/>
    </row>
    <row r="172" spans="1:519" s="3" customFormat="1" x14ac:dyDescent="0.3">
      <c r="JF172" s="107"/>
      <c r="JG172" s="107"/>
      <c r="JH172"/>
      <c r="JI172"/>
      <c r="JJ172"/>
      <c r="JK172"/>
      <c r="JL172"/>
      <c r="JM172"/>
      <c r="JN172"/>
      <c r="JO172"/>
      <c r="JP172"/>
      <c r="JQ172"/>
      <c r="JR172"/>
      <c r="JS172"/>
      <c r="JT172"/>
      <c r="JU172"/>
      <c r="JV172"/>
      <c r="JW172"/>
      <c r="JX172"/>
      <c r="JY172"/>
      <c r="JZ172"/>
      <c r="KA172"/>
      <c r="KB172"/>
      <c r="KC172"/>
      <c r="KD172"/>
      <c r="KE172"/>
      <c r="KF172"/>
      <c r="KG172"/>
      <c r="KH172"/>
      <c r="KI172"/>
      <c r="KJ172"/>
      <c r="KK172"/>
      <c r="KL172"/>
      <c r="KM172"/>
      <c r="KN172"/>
      <c r="KO172"/>
      <c r="KP172"/>
      <c r="KQ172"/>
      <c r="KR172"/>
      <c r="KS172"/>
      <c r="KT172"/>
      <c r="KU172"/>
      <c r="KV172"/>
      <c r="KW172"/>
      <c r="KX172"/>
      <c r="KY172"/>
      <c r="KZ172"/>
      <c r="LA172"/>
      <c r="LB172"/>
      <c r="LC172"/>
      <c r="LD172"/>
      <c r="LE172"/>
      <c r="LF172"/>
      <c r="LG172"/>
      <c r="LH172"/>
      <c r="LI172"/>
      <c r="LJ172"/>
      <c r="LK172"/>
      <c r="LL172"/>
      <c r="LM172"/>
      <c r="LN172"/>
      <c r="LO172"/>
      <c r="LP172"/>
      <c r="LQ172"/>
      <c r="LR172"/>
      <c r="LS172"/>
      <c r="LT172"/>
      <c r="LU172"/>
      <c r="LV172"/>
      <c r="LW172"/>
      <c r="LX172"/>
      <c r="LY172"/>
      <c r="LZ172"/>
      <c r="MA172"/>
      <c r="MB172"/>
      <c r="MC172"/>
      <c r="MD172"/>
      <c r="ME172"/>
      <c r="MF172"/>
      <c r="MG172"/>
      <c r="MH172"/>
      <c r="MI172"/>
      <c r="MJ172"/>
      <c r="MK172"/>
      <c r="ML172"/>
      <c r="MM172"/>
      <c r="MN172"/>
      <c r="MO172"/>
      <c r="MP172"/>
      <c r="MQ172"/>
      <c r="MR172"/>
      <c r="MS172"/>
      <c r="MT172"/>
      <c r="MU172"/>
      <c r="MV172"/>
      <c r="MW172"/>
      <c r="MX172"/>
      <c r="MY172"/>
      <c r="MZ172"/>
      <c r="NA172"/>
      <c r="NB172"/>
      <c r="NC172"/>
      <c r="ND172"/>
      <c r="NE172"/>
      <c r="NF172"/>
      <c r="NG172"/>
      <c r="NH172"/>
      <c r="NI172"/>
      <c r="NJ172"/>
      <c r="NK172"/>
      <c r="NL172"/>
      <c r="NM172"/>
      <c r="NN172"/>
      <c r="NO172"/>
      <c r="NP172"/>
      <c r="NQ172"/>
      <c r="NR172"/>
      <c r="NS172"/>
      <c r="NT172"/>
      <c r="NU172"/>
      <c r="NV172"/>
      <c r="NW172"/>
      <c r="NX172"/>
      <c r="NY172"/>
      <c r="NZ172"/>
      <c r="OA172"/>
      <c r="OB172"/>
      <c r="OC172"/>
      <c r="OD172"/>
      <c r="OE172"/>
      <c r="OF172"/>
      <c r="OG172"/>
      <c r="OH172"/>
      <c r="OI172"/>
      <c r="OJ172"/>
      <c r="OK172"/>
      <c r="OL172"/>
      <c r="OM172"/>
      <c r="ON172"/>
      <c r="OO172"/>
      <c r="OP172"/>
      <c r="OQ172"/>
      <c r="OR172"/>
      <c r="OS172"/>
      <c r="OT172"/>
      <c r="OU172"/>
      <c r="OV172"/>
      <c r="OW172"/>
      <c r="OX172"/>
      <c r="OY172"/>
      <c r="OZ172"/>
      <c r="PA172"/>
      <c r="PB172"/>
      <c r="PC172"/>
      <c r="PD172"/>
      <c r="PE172"/>
      <c r="PF172"/>
      <c r="PG172"/>
      <c r="PH172"/>
      <c r="PI172"/>
      <c r="PJ172"/>
      <c r="PK172"/>
      <c r="PL172"/>
      <c r="PM172"/>
      <c r="PN172"/>
      <c r="PO172"/>
      <c r="PP172"/>
      <c r="PQ172"/>
      <c r="PR172"/>
      <c r="PS172"/>
      <c r="PT172"/>
      <c r="PU172"/>
      <c r="PV172"/>
      <c r="PW172"/>
      <c r="PX172"/>
      <c r="PY172"/>
      <c r="PZ172"/>
      <c r="QA172"/>
      <c r="QB172"/>
      <c r="QC172"/>
      <c r="QD172"/>
      <c r="QE172"/>
      <c r="QF172"/>
      <c r="QG172"/>
      <c r="QH172"/>
      <c r="QI172"/>
      <c r="QJ172"/>
      <c r="QK172"/>
      <c r="QL172"/>
      <c r="QM172"/>
      <c r="QN172"/>
      <c r="QO172"/>
      <c r="QP172"/>
      <c r="QQ172"/>
      <c r="QR172"/>
      <c r="QS172"/>
      <c r="QT172"/>
      <c r="QU172"/>
      <c r="QV172"/>
      <c r="QW172"/>
      <c r="QX172"/>
      <c r="QY172"/>
      <c r="QZ172"/>
      <c r="RA172"/>
      <c r="RB172"/>
      <c r="RC172"/>
      <c r="RD172"/>
      <c r="RE172"/>
      <c r="RF172"/>
      <c r="RG172"/>
      <c r="RH172"/>
      <c r="RI172"/>
      <c r="RJ172"/>
      <c r="RK172"/>
      <c r="RL172"/>
      <c r="RM172"/>
      <c r="RN172"/>
      <c r="RO172"/>
      <c r="RP172"/>
      <c r="RQ172"/>
      <c r="RR172"/>
      <c r="RS172"/>
      <c r="RT172"/>
      <c r="RU172"/>
      <c r="RV172"/>
      <c r="RW172"/>
      <c r="RX172"/>
      <c r="RY172"/>
      <c r="RZ172"/>
      <c r="SA172"/>
      <c r="SB172"/>
      <c r="SC172"/>
      <c r="SD172"/>
      <c r="SE172"/>
      <c r="SF172"/>
      <c r="SG172"/>
      <c r="SH172"/>
      <c r="SI172"/>
      <c r="SJ172"/>
      <c r="SK172"/>
      <c r="SL172"/>
      <c r="SM172"/>
      <c r="SN172"/>
      <c r="SO172"/>
      <c r="SP172"/>
      <c r="SQ172"/>
      <c r="SR172"/>
      <c r="SS172"/>
      <c r="ST172"/>
      <c r="SU172"/>
      <c r="SV172"/>
      <c r="SW172"/>
      <c r="SX172"/>
      <c r="SY172"/>
    </row>
    <row r="173" spans="1:519" s="3" customFormat="1" x14ac:dyDescent="0.3">
      <c r="JF173" s="107"/>
      <c r="JG173" s="107"/>
      <c r="JH173"/>
      <c r="JI173"/>
      <c r="JJ173"/>
      <c r="JK173"/>
      <c r="JL173"/>
      <c r="JM173"/>
      <c r="JN173"/>
      <c r="JO173"/>
      <c r="JP173"/>
      <c r="JQ173"/>
      <c r="JR173"/>
      <c r="JS173"/>
      <c r="JT173"/>
      <c r="JU173"/>
      <c r="JV173"/>
      <c r="JW173"/>
      <c r="JX173"/>
      <c r="JY173"/>
      <c r="JZ173"/>
      <c r="KA173"/>
      <c r="KB173"/>
      <c r="KC173"/>
      <c r="KD173"/>
      <c r="KE173"/>
      <c r="KF173"/>
      <c r="KG173"/>
      <c r="KH173"/>
      <c r="KI173"/>
      <c r="KJ173"/>
      <c r="KK173"/>
      <c r="KL173"/>
      <c r="KM173"/>
      <c r="KN173"/>
      <c r="KO173"/>
      <c r="KP173"/>
      <c r="KQ173"/>
      <c r="KR173"/>
      <c r="KS173"/>
      <c r="KT173"/>
      <c r="KU173"/>
      <c r="KV173"/>
      <c r="KW173"/>
      <c r="KX173"/>
      <c r="KY173"/>
      <c r="KZ173"/>
      <c r="LA173"/>
      <c r="LB173"/>
      <c r="LC173"/>
      <c r="LD173"/>
      <c r="LE173"/>
      <c r="LF173"/>
      <c r="LG173"/>
      <c r="LH173"/>
      <c r="LI173"/>
      <c r="LJ173"/>
      <c r="LK173"/>
      <c r="LL173"/>
      <c r="LM173"/>
      <c r="LN173"/>
      <c r="LO173"/>
      <c r="LP173"/>
      <c r="LQ173"/>
      <c r="LR173"/>
      <c r="LS173"/>
      <c r="LT173"/>
      <c r="LU173"/>
      <c r="LV173"/>
      <c r="LW173"/>
      <c r="LX173"/>
      <c r="LY173"/>
      <c r="LZ173"/>
      <c r="MA173"/>
      <c r="MB173"/>
      <c r="MC173"/>
      <c r="MD173"/>
      <c r="ME173"/>
      <c r="MF173"/>
      <c r="MG173"/>
      <c r="MH173"/>
      <c r="MI173"/>
      <c r="MJ173"/>
      <c r="MK173"/>
      <c r="ML173"/>
      <c r="MM173"/>
      <c r="MN173"/>
      <c r="MO173"/>
      <c r="MP173"/>
      <c r="MQ173"/>
      <c r="MR173"/>
      <c r="MS173"/>
      <c r="MT173"/>
      <c r="MU173"/>
      <c r="MV173"/>
      <c r="MW173"/>
      <c r="MX173"/>
      <c r="MY173"/>
      <c r="MZ173"/>
      <c r="NA173"/>
      <c r="NB173"/>
      <c r="NC173"/>
      <c r="ND173"/>
      <c r="NE173"/>
      <c r="NF173"/>
      <c r="NG173"/>
      <c r="NH173"/>
      <c r="NI173"/>
      <c r="NJ173"/>
      <c r="NK173"/>
      <c r="NL173"/>
      <c r="NM173"/>
      <c r="NN173"/>
      <c r="NO173"/>
      <c r="NP173"/>
      <c r="NQ173"/>
      <c r="NR173"/>
      <c r="NS173"/>
      <c r="NT173"/>
      <c r="NU173"/>
      <c r="NV173"/>
      <c r="NW173"/>
      <c r="NX173"/>
      <c r="NY173"/>
      <c r="NZ173"/>
      <c r="OA173"/>
      <c r="OB173"/>
      <c r="OC173"/>
      <c r="OD173"/>
      <c r="OE173"/>
      <c r="OF173"/>
      <c r="OG173"/>
      <c r="OH173"/>
      <c r="OI173"/>
      <c r="OJ173"/>
      <c r="OK173"/>
      <c r="OL173"/>
      <c r="OM173"/>
      <c r="ON173"/>
      <c r="OO173"/>
      <c r="OP173"/>
      <c r="OQ173"/>
      <c r="OR173"/>
      <c r="OS173"/>
      <c r="OT173"/>
      <c r="OU173"/>
      <c r="OV173"/>
      <c r="OW173"/>
      <c r="OX173"/>
      <c r="OY173"/>
      <c r="OZ173"/>
      <c r="PA173"/>
      <c r="PB173"/>
      <c r="PC173"/>
      <c r="PD173"/>
      <c r="PE173"/>
      <c r="PF173"/>
      <c r="PG173"/>
      <c r="PH173"/>
      <c r="PI173"/>
      <c r="PJ173"/>
      <c r="PK173"/>
      <c r="PL173"/>
      <c r="PM173"/>
      <c r="PN173"/>
      <c r="PO173"/>
      <c r="PP173"/>
      <c r="PQ173"/>
      <c r="PR173"/>
      <c r="PS173"/>
      <c r="PT173"/>
      <c r="PU173"/>
      <c r="PV173"/>
      <c r="PW173"/>
      <c r="PX173"/>
      <c r="PY173"/>
      <c r="PZ173"/>
      <c r="QA173"/>
      <c r="QB173"/>
      <c r="QC173"/>
      <c r="QD173"/>
      <c r="QE173"/>
      <c r="QF173"/>
      <c r="QG173"/>
      <c r="QH173"/>
      <c r="QI173"/>
      <c r="QJ173"/>
      <c r="QK173"/>
      <c r="QL173"/>
      <c r="QM173"/>
      <c r="QN173"/>
      <c r="QO173"/>
      <c r="QP173"/>
      <c r="QQ173"/>
      <c r="QR173"/>
      <c r="QS173"/>
      <c r="QT173"/>
      <c r="QU173"/>
      <c r="QV173"/>
      <c r="QW173"/>
      <c r="QX173"/>
      <c r="QY173"/>
      <c r="QZ173"/>
      <c r="RA173"/>
      <c r="RB173"/>
      <c r="RC173"/>
      <c r="RD173"/>
      <c r="RE173"/>
      <c r="RF173"/>
      <c r="RG173"/>
      <c r="RH173"/>
      <c r="RI173"/>
      <c r="RJ173"/>
      <c r="RK173"/>
      <c r="RL173"/>
      <c r="RM173"/>
      <c r="RN173"/>
      <c r="RO173"/>
      <c r="RP173"/>
      <c r="RQ173"/>
      <c r="RR173"/>
      <c r="RS173"/>
      <c r="RT173"/>
      <c r="RU173"/>
      <c r="RV173"/>
      <c r="RW173"/>
      <c r="RX173"/>
      <c r="RY173"/>
      <c r="RZ173"/>
      <c r="SA173"/>
      <c r="SB173"/>
      <c r="SC173"/>
      <c r="SD173"/>
      <c r="SE173"/>
      <c r="SF173"/>
      <c r="SG173"/>
      <c r="SH173"/>
      <c r="SI173"/>
      <c r="SJ173"/>
      <c r="SK173"/>
      <c r="SL173"/>
      <c r="SM173"/>
      <c r="SN173"/>
      <c r="SO173"/>
      <c r="SP173"/>
      <c r="SQ173"/>
      <c r="SR173"/>
      <c r="SS173"/>
      <c r="ST173"/>
      <c r="SU173"/>
      <c r="SV173"/>
      <c r="SW173"/>
      <c r="SX173"/>
      <c r="SY173"/>
    </row>
    <row r="174" spans="1:519" s="3" customFormat="1" x14ac:dyDescent="0.3">
      <c r="JF174" s="107"/>
      <c r="JG174" s="107"/>
      <c r="JH174"/>
      <c r="JI174"/>
      <c r="JJ174"/>
      <c r="JK174"/>
      <c r="JL174"/>
      <c r="JM174"/>
      <c r="JN174"/>
      <c r="JO174"/>
      <c r="JP174"/>
      <c r="JQ174"/>
      <c r="JR174"/>
      <c r="JS174"/>
      <c r="JT174"/>
      <c r="JU174"/>
      <c r="JV174"/>
      <c r="JW174"/>
      <c r="JX174"/>
      <c r="JY174"/>
      <c r="JZ174"/>
      <c r="KA174"/>
      <c r="KB174"/>
      <c r="KC174"/>
      <c r="KD174"/>
      <c r="KE174"/>
      <c r="KF174"/>
      <c r="KG174"/>
      <c r="KH174"/>
      <c r="KI174"/>
      <c r="KJ174"/>
      <c r="KK174"/>
      <c r="KL174"/>
      <c r="KM174"/>
      <c r="KN174"/>
      <c r="KO174"/>
      <c r="KP174"/>
      <c r="KQ174"/>
      <c r="KR174"/>
      <c r="KS174"/>
      <c r="KT174"/>
      <c r="KU174"/>
      <c r="KV174"/>
      <c r="KW174"/>
      <c r="KX174"/>
      <c r="KY174"/>
      <c r="KZ174"/>
      <c r="LA174"/>
      <c r="LB174"/>
      <c r="LC174"/>
      <c r="LD174"/>
      <c r="LE174"/>
      <c r="LF174"/>
      <c r="LG174"/>
      <c r="LH174"/>
      <c r="LI174"/>
      <c r="LJ174"/>
      <c r="LK174"/>
      <c r="LL174"/>
      <c r="LM174"/>
      <c r="LN174"/>
      <c r="LO174"/>
      <c r="LP174"/>
      <c r="LQ174"/>
      <c r="LR174"/>
      <c r="LS174"/>
      <c r="LT174"/>
      <c r="LU174"/>
      <c r="LV174"/>
      <c r="LW174"/>
      <c r="LX174"/>
      <c r="LY174"/>
      <c r="LZ174"/>
      <c r="MA174"/>
      <c r="MB174"/>
      <c r="MC174"/>
      <c r="MD174"/>
      <c r="ME174"/>
      <c r="MF174"/>
      <c r="MG174"/>
      <c r="MH174"/>
      <c r="MI174"/>
      <c r="MJ174"/>
      <c r="MK174"/>
      <c r="ML174"/>
      <c r="MM174"/>
      <c r="MN174"/>
      <c r="MO174"/>
      <c r="MP174"/>
      <c r="MQ174"/>
      <c r="MR174"/>
      <c r="MS174"/>
      <c r="MT174"/>
      <c r="MU174"/>
      <c r="MV174"/>
      <c r="MW174"/>
      <c r="MX174"/>
      <c r="MY174"/>
      <c r="MZ174"/>
      <c r="NA174"/>
      <c r="NB174"/>
      <c r="NC174"/>
      <c r="ND174"/>
      <c r="NE174"/>
      <c r="NF174"/>
      <c r="NG174"/>
      <c r="NH174"/>
      <c r="NI174"/>
      <c r="NJ174"/>
      <c r="NK174"/>
      <c r="NL174"/>
      <c r="NM174"/>
      <c r="NN174"/>
      <c r="NO174"/>
      <c r="NP174"/>
      <c r="NQ174"/>
      <c r="NR174"/>
      <c r="NS174"/>
      <c r="NT174"/>
      <c r="NU174"/>
      <c r="NV174"/>
      <c r="NW174"/>
      <c r="NX174"/>
      <c r="NY174"/>
      <c r="NZ174"/>
      <c r="OA174"/>
      <c r="OB174"/>
      <c r="OC174"/>
      <c r="OD174"/>
      <c r="OE174"/>
      <c r="OF174"/>
      <c r="OG174"/>
      <c r="OH174"/>
      <c r="OI174"/>
      <c r="OJ174"/>
      <c r="OK174"/>
      <c r="OL174"/>
      <c r="OM174"/>
      <c r="ON174"/>
      <c r="OO174"/>
      <c r="OP174"/>
      <c r="OQ174"/>
      <c r="OR174"/>
      <c r="OS174"/>
      <c r="OT174"/>
      <c r="OU174"/>
      <c r="OV174"/>
      <c r="OW174"/>
      <c r="OX174"/>
      <c r="OY174"/>
      <c r="OZ174"/>
      <c r="PA174"/>
      <c r="PB174"/>
      <c r="PC174"/>
      <c r="PD174"/>
      <c r="PE174"/>
      <c r="PF174"/>
      <c r="PG174"/>
      <c r="PH174"/>
      <c r="PI174"/>
      <c r="PJ174"/>
      <c r="PK174"/>
      <c r="PL174"/>
      <c r="PM174"/>
      <c r="PN174"/>
      <c r="PO174"/>
      <c r="PP174"/>
      <c r="PQ174"/>
      <c r="PR174"/>
      <c r="PS174"/>
      <c r="PT174"/>
      <c r="PU174"/>
      <c r="PV174"/>
      <c r="PW174"/>
      <c r="PX174"/>
      <c r="PY174"/>
      <c r="PZ174"/>
      <c r="QA174"/>
      <c r="QB174"/>
      <c r="QC174"/>
      <c r="QD174"/>
      <c r="QE174"/>
      <c r="QF174"/>
      <c r="QG174"/>
      <c r="QH174"/>
      <c r="QI174"/>
      <c r="QJ174"/>
      <c r="QK174"/>
      <c r="QL174"/>
      <c r="QM174"/>
      <c r="QN174"/>
      <c r="QO174"/>
      <c r="QP174"/>
      <c r="QQ174"/>
      <c r="QR174"/>
      <c r="QS174"/>
      <c r="QT174"/>
      <c r="QU174"/>
      <c r="QV174"/>
      <c r="QW174"/>
      <c r="QX174"/>
      <c r="QY174"/>
      <c r="QZ174"/>
      <c r="RA174"/>
      <c r="RB174"/>
      <c r="RC174"/>
      <c r="RD174"/>
      <c r="RE174"/>
      <c r="RF174"/>
      <c r="RG174"/>
      <c r="RH174"/>
      <c r="RI174"/>
      <c r="RJ174"/>
      <c r="RK174"/>
      <c r="RL174"/>
      <c r="RM174"/>
      <c r="RN174"/>
      <c r="RO174"/>
      <c r="RP174"/>
      <c r="RQ174"/>
      <c r="RR174"/>
      <c r="RS174"/>
      <c r="RT174"/>
      <c r="RU174"/>
      <c r="RV174"/>
      <c r="RW174"/>
      <c r="RX174"/>
      <c r="RY174"/>
      <c r="RZ174"/>
      <c r="SA174"/>
      <c r="SB174"/>
      <c r="SC174"/>
      <c r="SD174"/>
      <c r="SE174"/>
      <c r="SF174"/>
      <c r="SG174"/>
      <c r="SH174"/>
      <c r="SI174"/>
      <c r="SJ174"/>
      <c r="SK174"/>
      <c r="SL174"/>
      <c r="SM174"/>
      <c r="SN174"/>
      <c r="SO174"/>
      <c r="SP174"/>
      <c r="SQ174"/>
      <c r="SR174"/>
      <c r="SS174"/>
      <c r="ST174"/>
      <c r="SU174"/>
      <c r="SV174"/>
      <c r="SW174"/>
      <c r="SX174"/>
      <c r="SY174"/>
    </row>
    <row r="175" spans="1:519" s="3" customFormat="1" x14ac:dyDescent="0.3">
      <c r="JF175" s="107"/>
      <c r="JG175" s="107"/>
      <c r="JH175"/>
      <c r="JI175"/>
      <c r="JJ175"/>
      <c r="JK175"/>
      <c r="JL175"/>
      <c r="JM175"/>
      <c r="JN175"/>
      <c r="JO175"/>
      <c r="JP175"/>
      <c r="JQ175"/>
      <c r="JR175"/>
      <c r="JS175"/>
      <c r="JT175"/>
      <c r="JU175"/>
      <c r="JV175"/>
      <c r="JW175"/>
      <c r="JX175"/>
      <c r="JY175"/>
      <c r="JZ175"/>
      <c r="KA175"/>
      <c r="KB175"/>
      <c r="KC175"/>
      <c r="KD175"/>
      <c r="KE175"/>
      <c r="KF175"/>
      <c r="KG175"/>
      <c r="KH175"/>
      <c r="KI175"/>
      <c r="KJ175"/>
      <c r="KK175"/>
      <c r="KL175"/>
      <c r="KM175"/>
      <c r="KN175"/>
      <c r="KO175"/>
      <c r="KP175"/>
      <c r="KQ175"/>
      <c r="KR175"/>
      <c r="KS175"/>
      <c r="KT175"/>
      <c r="KU175"/>
      <c r="KV175"/>
      <c r="KW175"/>
      <c r="KX175"/>
      <c r="KY175"/>
      <c r="KZ175"/>
      <c r="LA175"/>
      <c r="LB175"/>
      <c r="LC175"/>
      <c r="LD175"/>
      <c r="LE175"/>
      <c r="LF175"/>
      <c r="LG175"/>
      <c r="LH175"/>
      <c r="LI175"/>
      <c r="LJ175"/>
      <c r="LK175"/>
      <c r="LL175"/>
      <c r="LM175"/>
      <c r="LN175"/>
      <c r="LO175"/>
      <c r="LP175"/>
      <c r="LQ175"/>
      <c r="LR175"/>
      <c r="LS175"/>
      <c r="LT175"/>
      <c r="LU175"/>
      <c r="LV175"/>
      <c r="LW175"/>
      <c r="LX175"/>
      <c r="LY175"/>
      <c r="LZ175"/>
      <c r="MA175"/>
      <c r="MB175"/>
      <c r="MC175"/>
      <c r="MD175"/>
      <c r="ME175"/>
      <c r="MF175"/>
      <c r="MG175"/>
      <c r="MH175"/>
      <c r="MI175"/>
      <c r="MJ175"/>
      <c r="MK175"/>
      <c r="ML175"/>
      <c r="MM175"/>
      <c r="MN175"/>
      <c r="MO175"/>
      <c r="MP175"/>
      <c r="MQ175"/>
      <c r="MR175"/>
      <c r="MS175"/>
      <c r="MT175"/>
      <c r="MU175"/>
      <c r="MV175"/>
      <c r="MW175"/>
      <c r="MX175"/>
      <c r="MY175"/>
      <c r="MZ175"/>
      <c r="NA175"/>
      <c r="NB175"/>
      <c r="NC175"/>
      <c r="ND175"/>
      <c r="NE175"/>
      <c r="NF175"/>
      <c r="NG175"/>
      <c r="NH175"/>
      <c r="NI175"/>
      <c r="NJ175"/>
      <c r="NK175"/>
      <c r="NL175"/>
      <c r="NM175"/>
      <c r="NN175"/>
      <c r="NO175"/>
      <c r="NP175"/>
      <c r="NQ175"/>
      <c r="NR175"/>
      <c r="NS175"/>
      <c r="NT175"/>
      <c r="NU175"/>
      <c r="NV175"/>
      <c r="NW175"/>
      <c r="NX175"/>
      <c r="NY175"/>
      <c r="NZ175"/>
      <c r="OA175"/>
      <c r="OB175"/>
      <c r="OC175"/>
      <c r="OD175"/>
      <c r="OE175"/>
      <c r="OF175"/>
      <c r="OG175"/>
      <c r="OH175"/>
      <c r="OI175"/>
      <c r="OJ175"/>
      <c r="OK175"/>
      <c r="OL175"/>
      <c r="OM175"/>
      <c r="ON175"/>
      <c r="OO175"/>
      <c r="OP175"/>
      <c r="OQ175"/>
      <c r="OR175"/>
      <c r="OS175"/>
      <c r="OT175"/>
      <c r="OU175"/>
      <c r="OV175"/>
      <c r="OW175"/>
      <c r="OX175"/>
      <c r="OY175"/>
      <c r="OZ175"/>
      <c r="PA175"/>
      <c r="PB175"/>
      <c r="PC175"/>
      <c r="PD175"/>
      <c r="PE175"/>
      <c r="PF175"/>
      <c r="PG175"/>
      <c r="PH175"/>
      <c r="PI175"/>
      <c r="PJ175"/>
      <c r="PK175"/>
      <c r="PL175"/>
      <c r="PM175"/>
      <c r="PN175"/>
      <c r="PO175"/>
      <c r="PP175"/>
      <c r="PQ175"/>
      <c r="PR175"/>
      <c r="PS175"/>
      <c r="PT175"/>
      <c r="PU175"/>
      <c r="PV175"/>
      <c r="PW175"/>
      <c r="PX175"/>
      <c r="PY175"/>
      <c r="PZ175"/>
      <c r="QA175"/>
      <c r="QB175"/>
      <c r="QC175"/>
      <c r="QD175"/>
      <c r="QE175"/>
      <c r="QF175"/>
      <c r="QG175"/>
      <c r="QH175"/>
      <c r="QI175"/>
      <c r="QJ175"/>
      <c r="QK175"/>
      <c r="QL175"/>
      <c r="QM175"/>
      <c r="QN175"/>
      <c r="QO175"/>
      <c r="QP175"/>
      <c r="QQ175"/>
      <c r="QR175"/>
      <c r="QS175"/>
      <c r="QT175"/>
      <c r="QU175"/>
      <c r="QV175"/>
      <c r="QW175"/>
      <c r="QX175"/>
      <c r="QY175"/>
      <c r="QZ175"/>
      <c r="RA175"/>
      <c r="RB175"/>
      <c r="RC175"/>
      <c r="RD175"/>
      <c r="RE175"/>
      <c r="RF175"/>
      <c r="RG175"/>
      <c r="RH175"/>
      <c r="RI175"/>
      <c r="RJ175"/>
      <c r="RK175"/>
      <c r="RL175"/>
      <c r="RM175"/>
      <c r="RN175"/>
      <c r="RO175"/>
      <c r="RP175"/>
      <c r="RQ175"/>
      <c r="RR175"/>
      <c r="RS175"/>
      <c r="RT175"/>
      <c r="RU175"/>
      <c r="RV175"/>
      <c r="RW175"/>
      <c r="RX175"/>
      <c r="RY175"/>
      <c r="RZ175"/>
      <c r="SA175"/>
      <c r="SB175"/>
      <c r="SC175"/>
      <c r="SD175"/>
      <c r="SE175"/>
      <c r="SF175"/>
      <c r="SG175"/>
      <c r="SH175"/>
      <c r="SI175"/>
      <c r="SJ175"/>
      <c r="SK175"/>
      <c r="SL175"/>
      <c r="SM175"/>
      <c r="SN175"/>
      <c r="SO175"/>
      <c r="SP175"/>
      <c r="SQ175"/>
      <c r="SR175"/>
      <c r="SS175"/>
      <c r="ST175"/>
      <c r="SU175"/>
      <c r="SV175"/>
      <c r="SW175"/>
      <c r="SX175"/>
      <c r="SY175"/>
    </row>
    <row r="176" spans="1:519" s="3" customFormat="1" x14ac:dyDescent="0.3">
      <c r="JF176" s="107"/>
      <c r="JG176" s="107"/>
      <c r="JH176"/>
      <c r="JI176"/>
      <c r="JJ176"/>
      <c r="JK176"/>
      <c r="JL176"/>
      <c r="JM176"/>
      <c r="JN176"/>
      <c r="JO176"/>
      <c r="JP176"/>
      <c r="JQ176"/>
      <c r="JR176"/>
      <c r="JS176"/>
      <c r="JT176"/>
      <c r="JU176"/>
      <c r="JV176"/>
      <c r="JW176"/>
      <c r="JX176"/>
      <c r="JY176"/>
      <c r="JZ176"/>
      <c r="KA176"/>
      <c r="KB176"/>
      <c r="KC176"/>
      <c r="KD176"/>
      <c r="KE176"/>
      <c r="KF176"/>
      <c r="KG176"/>
      <c r="KH176"/>
      <c r="KI176"/>
      <c r="KJ176"/>
      <c r="KK176"/>
      <c r="KL176"/>
      <c r="KM176"/>
      <c r="KN176"/>
      <c r="KO176"/>
      <c r="KP176"/>
      <c r="KQ176"/>
      <c r="KR176"/>
      <c r="KS176"/>
      <c r="KT176"/>
      <c r="KU176"/>
      <c r="KV176"/>
      <c r="KW176"/>
      <c r="KX176"/>
      <c r="KY176"/>
      <c r="KZ176"/>
      <c r="LA176"/>
      <c r="LB176"/>
      <c r="LC176"/>
      <c r="LD176"/>
      <c r="LE176"/>
      <c r="LF176"/>
      <c r="LG176"/>
      <c r="LH176"/>
      <c r="LI176"/>
      <c r="LJ176"/>
      <c r="LK176"/>
      <c r="LL176"/>
      <c r="LM176"/>
      <c r="LN176"/>
      <c r="LO176"/>
      <c r="LP176"/>
      <c r="LQ176"/>
      <c r="LR176"/>
      <c r="LS176"/>
      <c r="LT176"/>
      <c r="LU176"/>
      <c r="LV176"/>
      <c r="LW176"/>
      <c r="LX176"/>
      <c r="LY176"/>
      <c r="LZ176"/>
      <c r="MA176"/>
      <c r="MB176"/>
      <c r="MC176"/>
      <c r="MD176"/>
      <c r="ME176"/>
      <c r="MF176"/>
      <c r="MG176"/>
      <c r="MH176"/>
      <c r="MI176"/>
      <c r="MJ176"/>
      <c r="MK176"/>
      <c r="ML176"/>
      <c r="MM176"/>
      <c r="MN176"/>
      <c r="MO176"/>
      <c r="MP176"/>
      <c r="MQ176"/>
      <c r="MR176"/>
      <c r="MS176"/>
      <c r="MT176"/>
      <c r="MU176"/>
      <c r="MV176"/>
      <c r="MW176"/>
      <c r="MX176"/>
      <c r="MY176"/>
      <c r="MZ176"/>
      <c r="NA176"/>
      <c r="NB176"/>
      <c r="NC176"/>
      <c r="ND176"/>
      <c r="NE176"/>
      <c r="NF176"/>
      <c r="NG176"/>
      <c r="NH176"/>
      <c r="NI176"/>
      <c r="NJ176"/>
      <c r="NK176"/>
      <c r="NL176"/>
      <c r="NM176"/>
      <c r="NN176"/>
      <c r="NO176"/>
      <c r="NP176"/>
      <c r="NQ176"/>
      <c r="NR176"/>
      <c r="NS176"/>
      <c r="NT176"/>
      <c r="NU176"/>
      <c r="NV176"/>
      <c r="NW176"/>
      <c r="NX176"/>
      <c r="NY176"/>
      <c r="NZ176"/>
      <c r="OA176"/>
      <c r="OB176"/>
      <c r="OC176"/>
      <c r="OD176"/>
      <c r="OE176"/>
      <c r="OF176"/>
      <c r="OG176"/>
      <c r="OH176"/>
      <c r="OI176"/>
      <c r="OJ176"/>
      <c r="OK176"/>
      <c r="OL176"/>
      <c r="OM176"/>
      <c r="ON176"/>
      <c r="OO176"/>
      <c r="OP176"/>
      <c r="OQ176"/>
      <c r="OR176"/>
      <c r="OS176"/>
      <c r="OT176"/>
      <c r="OU176"/>
      <c r="OV176"/>
      <c r="OW176"/>
      <c r="OX176"/>
      <c r="OY176"/>
      <c r="OZ176"/>
      <c r="PA176"/>
      <c r="PB176"/>
      <c r="PC176"/>
      <c r="PD176"/>
      <c r="PE176"/>
      <c r="PF176"/>
      <c r="PG176"/>
      <c r="PH176"/>
      <c r="PI176"/>
      <c r="PJ176"/>
      <c r="PK176"/>
      <c r="PL176"/>
      <c r="PM176"/>
      <c r="PN176"/>
      <c r="PO176"/>
      <c r="PP176"/>
      <c r="PQ176"/>
      <c r="PR176"/>
      <c r="PS176"/>
      <c r="PT176"/>
      <c r="PU176"/>
      <c r="PV176"/>
      <c r="PW176"/>
      <c r="PX176"/>
      <c r="PY176"/>
      <c r="PZ176"/>
      <c r="QA176"/>
      <c r="QB176"/>
      <c r="QC176"/>
      <c r="QD176"/>
      <c r="QE176"/>
      <c r="QF176"/>
      <c r="QG176"/>
      <c r="QH176"/>
      <c r="QI176"/>
      <c r="QJ176"/>
      <c r="QK176"/>
      <c r="QL176"/>
      <c r="QM176"/>
      <c r="QN176"/>
      <c r="QO176"/>
      <c r="QP176"/>
      <c r="QQ176"/>
      <c r="QR176"/>
      <c r="QS176"/>
      <c r="QT176"/>
      <c r="QU176"/>
      <c r="QV176"/>
      <c r="QW176"/>
      <c r="QX176"/>
      <c r="QY176"/>
      <c r="QZ176"/>
      <c r="RA176"/>
      <c r="RB176"/>
      <c r="RC176"/>
      <c r="RD176"/>
      <c r="RE176"/>
      <c r="RF176"/>
      <c r="RG176"/>
      <c r="RH176"/>
      <c r="RI176"/>
      <c r="RJ176"/>
      <c r="RK176"/>
      <c r="RL176"/>
      <c r="RM176"/>
      <c r="RN176"/>
      <c r="RO176"/>
      <c r="RP176"/>
      <c r="RQ176"/>
      <c r="RR176"/>
      <c r="RS176"/>
      <c r="RT176"/>
      <c r="RU176"/>
      <c r="RV176"/>
      <c r="RW176"/>
      <c r="RX176"/>
      <c r="RY176"/>
      <c r="RZ176"/>
      <c r="SA176"/>
      <c r="SB176"/>
      <c r="SC176"/>
      <c r="SD176"/>
      <c r="SE176"/>
      <c r="SF176"/>
      <c r="SG176"/>
      <c r="SH176"/>
      <c r="SI176"/>
      <c r="SJ176"/>
      <c r="SK176"/>
      <c r="SL176"/>
      <c r="SM176"/>
      <c r="SN176"/>
      <c r="SO176"/>
      <c r="SP176"/>
      <c r="SQ176"/>
      <c r="SR176"/>
      <c r="SS176"/>
      <c r="ST176"/>
      <c r="SU176"/>
      <c r="SV176"/>
      <c r="SW176"/>
      <c r="SX176"/>
      <c r="SY176"/>
    </row>
    <row r="177" spans="248:519" s="3" customFormat="1" x14ac:dyDescent="0.3">
      <c r="JF177" s="107"/>
      <c r="JG177" s="107"/>
      <c r="JH177"/>
      <c r="JI177"/>
      <c r="JJ177"/>
      <c r="JK177"/>
      <c r="JL177"/>
      <c r="JM177"/>
      <c r="JN177"/>
      <c r="JO177"/>
      <c r="JP177"/>
      <c r="JQ177"/>
      <c r="JR177"/>
      <c r="JS177"/>
      <c r="JT177"/>
      <c r="JU177"/>
      <c r="JV177"/>
      <c r="JW177"/>
      <c r="JX177"/>
      <c r="JY177"/>
      <c r="JZ177"/>
      <c r="KA177"/>
      <c r="KB177"/>
      <c r="KC177"/>
      <c r="KD177"/>
      <c r="KE177"/>
      <c r="KF177"/>
      <c r="KG177"/>
      <c r="KH177"/>
      <c r="KI177"/>
      <c r="KJ177"/>
      <c r="KK177"/>
      <c r="KL177"/>
      <c r="KM177"/>
      <c r="KN177"/>
      <c r="KO177"/>
      <c r="KP177"/>
      <c r="KQ177"/>
      <c r="KR177"/>
      <c r="KS177"/>
      <c r="KT177"/>
      <c r="KU177"/>
      <c r="KV177"/>
      <c r="KW177"/>
      <c r="KX177"/>
      <c r="KY177"/>
      <c r="KZ177"/>
      <c r="LA177"/>
      <c r="LB177"/>
      <c r="LC177"/>
      <c r="LD177"/>
      <c r="LE177"/>
      <c r="LF177"/>
      <c r="LG177"/>
      <c r="LH177"/>
      <c r="LI177"/>
      <c r="LJ177"/>
      <c r="LK177"/>
      <c r="LL177"/>
      <c r="LM177"/>
      <c r="LN177"/>
      <c r="LO177"/>
      <c r="LP177"/>
      <c r="LQ177"/>
      <c r="LR177"/>
      <c r="LS177"/>
      <c r="LT177"/>
      <c r="LU177"/>
      <c r="LV177"/>
      <c r="LW177"/>
      <c r="LX177"/>
      <c r="LY177"/>
      <c r="LZ177"/>
      <c r="MA177"/>
      <c r="MB177"/>
      <c r="MC177"/>
      <c r="MD177"/>
      <c r="ME177"/>
      <c r="MF177"/>
      <c r="MG177"/>
      <c r="MH177"/>
      <c r="MI177"/>
      <c r="MJ177"/>
      <c r="MK177"/>
      <c r="ML177"/>
      <c r="MM177"/>
      <c r="MN177"/>
      <c r="MO177"/>
      <c r="MP177"/>
      <c r="MQ177"/>
      <c r="MR177"/>
      <c r="MS177"/>
      <c r="MT177"/>
      <c r="MU177"/>
      <c r="MV177"/>
      <c r="MW177"/>
      <c r="MX177"/>
      <c r="MY177"/>
      <c r="MZ177"/>
      <c r="NA177"/>
      <c r="NB177"/>
      <c r="NC177"/>
      <c r="ND177"/>
      <c r="NE177"/>
      <c r="NF177"/>
      <c r="NG177"/>
      <c r="NH177"/>
      <c r="NI177"/>
      <c r="NJ177"/>
      <c r="NK177"/>
      <c r="NL177"/>
      <c r="NM177"/>
      <c r="NN177"/>
      <c r="NO177"/>
      <c r="NP177"/>
      <c r="NQ177"/>
      <c r="NR177"/>
      <c r="NS177"/>
      <c r="NT177"/>
      <c r="NU177"/>
      <c r="NV177"/>
      <c r="NW177"/>
      <c r="NX177"/>
      <c r="NY177"/>
      <c r="NZ177"/>
      <c r="OA177"/>
      <c r="OB177"/>
      <c r="OC177"/>
      <c r="OD177"/>
      <c r="OE177"/>
      <c r="OF177"/>
      <c r="OG177"/>
      <c r="OH177"/>
      <c r="OI177"/>
      <c r="OJ177"/>
      <c r="OK177"/>
      <c r="OL177"/>
      <c r="OM177"/>
      <c r="ON177"/>
      <c r="OO177"/>
      <c r="OP177"/>
      <c r="OQ177"/>
      <c r="OR177"/>
      <c r="OS177"/>
      <c r="OT177"/>
      <c r="OU177"/>
      <c r="OV177"/>
      <c r="OW177"/>
      <c r="OX177"/>
      <c r="OY177"/>
      <c r="OZ177"/>
      <c r="PA177"/>
      <c r="PB177"/>
      <c r="PC177"/>
      <c r="PD177"/>
      <c r="PE177"/>
      <c r="PF177"/>
      <c r="PG177"/>
      <c r="PH177"/>
      <c r="PI177"/>
      <c r="PJ177"/>
      <c r="PK177"/>
      <c r="PL177"/>
      <c r="PM177"/>
      <c r="PN177"/>
      <c r="PO177"/>
      <c r="PP177"/>
      <c r="PQ177"/>
      <c r="PR177"/>
      <c r="PS177"/>
      <c r="PT177"/>
      <c r="PU177"/>
      <c r="PV177"/>
      <c r="PW177"/>
      <c r="PX177"/>
      <c r="PY177"/>
      <c r="PZ177"/>
      <c r="QA177"/>
      <c r="QB177"/>
      <c r="QC177"/>
      <c r="QD177"/>
      <c r="QE177"/>
      <c r="QF177"/>
      <c r="QG177"/>
      <c r="QH177"/>
      <c r="QI177"/>
      <c r="QJ177"/>
      <c r="QK177"/>
      <c r="QL177"/>
      <c r="QM177"/>
      <c r="QN177"/>
      <c r="QO177"/>
      <c r="QP177"/>
      <c r="QQ177"/>
      <c r="QR177"/>
      <c r="QS177"/>
      <c r="QT177"/>
      <c r="QU177"/>
      <c r="QV177"/>
      <c r="QW177"/>
      <c r="QX177"/>
      <c r="QY177"/>
      <c r="QZ177"/>
      <c r="RA177"/>
      <c r="RB177"/>
      <c r="RC177"/>
      <c r="RD177"/>
      <c r="RE177"/>
      <c r="RF177"/>
      <c r="RG177"/>
      <c r="RH177"/>
      <c r="RI177"/>
      <c r="RJ177"/>
      <c r="RK177"/>
      <c r="RL177"/>
      <c r="RM177"/>
      <c r="RN177"/>
      <c r="RO177"/>
      <c r="RP177"/>
      <c r="RQ177"/>
      <c r="RR177"/>
      <c r="RS177"/>
      <c r="RT177"/>
      <c r="RU177"/>
      <c r="RV177"/>
      <c r="RW177"/>
      <c r="RX177"/>
      <c r="RY177"/>
      <c r="RZ177"/>
      <c r="SA177"/>
      <c r="SB177"/>
      <c r="SC177"/>
      <c r="SD177"/>
      <c r="SE177"/>
      <c r="SF177"/>
      <c r="SG177"/>
      <c r="SH177"/>
      <c r="SI177"/>
      <c r="SJ177"/>
      <c r="SK177"/>
      <c r="SL177"/>
      <c r="SM177"/>
      <c r="SN177"/>
      <c r="SO177"/>
      <c r="SP177"/>
      <c r="SQ177"/>
      <c r="SR177"/>
      <c r="SS177"/>
      <c r="ST177"/>
      <c r="SU177"/>
      <c r="SV177"/>
      <c r="SW177"/>
      <c r="SX177"/>
      <c r="SY177"/>
    </row>
    <row r="178" spans="248:519" s="3" customFormat="1" x14ac:dyDescent="0.3">
      <c r="JF178" s="107"/>
      <c r="JG178" s="107"/>
      <c r="JH178"/>
      <c r="JI178"/>
      <c r="JJ178"/>
      <c r="JK178"/>
      <c r="JL178"/>
      <c r="JM178"/>
      <c r="JN178"/>
      <c r="JO178"/>
      <c r="JP178"/>
      <c r="JQ178"/>
      <c r="JR178"/>
      <c r="JS178"/>
      <c r="JT178"/>
      <c r="JU178"/>
      <c r="JV178"/>
      <c r="JW178"/>
      <c r="JX178"/>
      <c r="JY178"/>
      <c r="JZ178"/>
      <c r="KA178"/>
      <c r="KB178"/>
      <c r="KC178"/>
      <c r="KD178"/>
      <c r="KE178"/>
      <c r="KF178"/>
      <c r="KG178"/>
      <c r="KH178"/>
      <c r="KI178"/>
      <c r="KJ178"/>
      <c r="KK178"/>
      <c r="KL178"/>
      <c r="KM178"/>
      <c r="KN178"/>
      <c r="KO178"/>
      <c r="KP178"/>
      <c r="KQ178"/>
      <c r="KR178"/>
      <c r="KS178"/>
      <c r="KT178"/>
      <c r="KU178"/>
      <c r="KV178"/>
      <c r="KW178"/>
      <c r="KX178"/>
      <c r="KY178"/>
      <c r="KZ178"/>
      <c r="LA178"/>
      <c r="LB178"/>
      <c r="LC178"/>
      <c r="LD178"/>
      <c r="LE178"/>
      <c r="LF178"/>
      <c r="LG178"/>
      <c r="LH178"/>
      <c r="LI178"/>
      <c r="LJ178"/>
      <c r="LK178"/>
      <c r="LL178"/>
      <c r="LM178"/>
      <c r="LN178"/>
      <c r="LO178"/>
      <c r="LP178"/>
      <c r="LQ178"/>
      <c r="LR178"/>
      <c r="LS178"/>
      <c r="LT178"/>
      <c r="LU178"/>
      <c r="LV178"/>
      <c r="LW178"/>
      <c r="LX178"/>
      <c r="LY178"/>
      <c r="LZ178"/>
      <c r="MA178"/>
      <c r="MB178"/>
      <c r="MC178"/>
      <c r="MD178"/>
      <c r="ME178"/>
      <c r="MF178"/>
      <c r="MG178"/>
      <c r="MH178"/>
      <c r="MI178"/>
      <c r="MJ178"/>
      <c r="MK178"/>
      <c r="ML178"/>
      <c r="MM178"/>
      <c r="MN178"/>
      <c r="MO178"/>
      <c r="MP178"/>
      <c r="MQ178"/>
      <c r="MR178"/>
      <c r="MS178"/>
      <c r="MT178"/>
      <c r="MU178"/>
      <c r="MV178"/>
      <c r="MW178"/>
      <c r="MX178"/>
      <c r="MY178"/>
      <c r="MZ178"/>
      <c r="NA178"/>
      <c r="NB178"/>
      <c r="NC178"/>
      <c r="ND178"/>
      <c r="NE178"/>
      <c r="NF178"/>
      <c r="NG178"/>
      <c r="NH178"/>
      <c r="NI178"/>
      <c r="NJ178"/>
      <c r="NK178"/>
      <c r="NL178"/>
      <c r="NM178"/>
      <c r="NN178"/>
      <c r="NO178"/>
      <c r="NP178"/>
      <c r="NQ178"/>
      <c r="NR178"/>
      <c r="NS178"/>
      <c r="NT178"/>
      <c r="NU178"/>
      <c r="NV178"/>
      <c r="NW178"/>
      <c r="NX178"/>
      <c r="NY178"/>
      <c r="NZ178"/>
      <c r="OA178"/>
      <c r="OB178"/>
      <c r="OC178"/>
      <c r="OD178"/>
      <c r="OE178"/>
      <c r="OF178"/>
      <c r="OG178"/>
      <c r="OH178"/>
      <c r="OI178"/>
      <c r="OJ178"/>
      <c r="OK178"/>
      <c r="OL178"/>
      <c r="OM178"/>
      <c r="ON178"/>
      <c r="OO178"/>
      <c r="OP178"/>
      <c r="OQ178"/>
      <c r="OR178"/>
      <c r="OS178"/>
      <c r="OT178"/>
      <c r="OU178"/>
      <c r="OV178"/>
      <c r="OW178"/>
      <c r="OX178"/>
      <c r="OY178"/>
      <c r="OZ178"/>
      <c r="PA178"/>
      <c r="PB178"/>
      <c r="PC178"/>
      <c r="PD178"/>
      <c r="PE178"/>
      <c r="PF178"/>
      <c r="PG178"/>
      <c r="PH178"/>
      <c r="PI178"/>
      <c r="PJ178"/>
      <c r="PK178"/>
      <c r="PL178"/>
      <c r="PM178"/>
      <c r="PN178"/>
      <c r="PO178"/>
      <c r="PP178"/>
      <c r="PQ178"/>
      <c r="PR178"/>
      <c r="PS178"/>
      <c r="PT178"/>
      <c r="PU178"/>
      <c r="PV178"/>
      <c r="PW178"/>
      <c r="PX178"/>
      <c r="PY178"/>
      <c r="PZ178"/>
      <c r="QA178"/>
      <c r="QB178"/>
      <c r="QC178"/>
      <c r="QD178"/>
      <c r="QE178"/>
      <c r="QF178"/>
      <c r="QG178"/>
      <c r="QH178"/>
      <c r="QI178"/>
      <c r="QJ178"/>
      <c r="QK178"/>
      <c r="QL178"/>
      <c r="QM178"/>
      <c r="QN178"/>
      <c r="QO178"/>
      <c r="QP178"/>
      <c r="QQ178"/>
      <c r="QR178"/>
      <c r="QS178"/>
      <c r="QT178"/>
      <c r="QU178"/>
      <c r="QV178"/>
      <c r="QW178"/>
      <c r="QX178"/>
      <c r="QY178"/>
      <c r="QZ178"/>
      <c r="RA178"/>
      <c r="RB178"/>
      <c r="RC178"/>
      <c r="RD178"/>
      <c r="RE178"/>
      <c r="RF178"/>
      <c r="RG178"/>
      <c r="RH178"/>
      <c r="RI178"/>
      <c r="RJ178"/>
      <c r="RK178"/>
      <c r="RL178"/>
      <c r="RM178"/>
      <c r="RN178"/>
      <c r="RO178"/>
      <c r="RP178"/>
      <c r="RQ178"/>
      <c r="RR178"/>
      <c r="RS178"/>
      <c r="RT178"/>
      <c r="RU178"/>
      <c r="RV178"/>
      <c r="RW178"/>
      <c r="RX178"/>
      <c r="RY178"/>
      <c r="RZ178"/>
      <c r="SA178"/>
      <c r="SB178"/>
      <c r="SC178"/>
      <c r="SD178"/>
      <c r="SE178"/>
      <c r="SF178"/>
      <c r="SG178"/>
      <c r="SH178"/>
      <c r="SI178"/>
      <c r="SJ178"/>
      <c r="SK178"/>
      <c r="SL178"/>
      <c r="SM178"/>
      <c r="SN178"/>
      <c r="SO178"/>
      <c r="SP178"/>
      <c r="SQ178"/>
      <c r="SR178"/>
      <c r="SS178"/>
      <c r="ST178"/>
      <c r="SU178"/>
      <c r="SV178"/>
      <c r="SW178"/>
      <c r="SX178"/>
      <c r="SY178"/>
    </row>
    <row r="179" spans="248:519" x14ac:dyDescent="0.3">
      <c r="IN179" s="3"/>
    </row>
    <row r="180" spans="248:519" x14ac:dyDescent="0.3">
      <c r="IN180" s="3"/>
    </row>
    <row r="181" spans="248:519" x14ac:dyDescent="0.3">
      <c r="IN181" s="3"/>
    </row>
    <row r="182" spans="248:519" x14ac:dyDescent="0.3">
      <c r="IN182" s="3"/>
    </row>
    <row r="183" spans="248:519" x14ac:dyDescent="0.3">
      <c r="IN183" s="3"/>
    </row>
    <row r="184" spans="248:519" x14ac:dyDescent="0.3">
      <c r="IN184" s="3"/>
    </row>
    <row r="185" spans="248:519" x14ac:dyDescent="0.3">
      <c r="IN185" s="3"/>
    </row>
    <row r="186" spans="248:519" x14ac:dyDescent="0.3">
      <c r="IN186" s="3"/>
    </row>
    <row r="187" spans="248:519" x14ac:dyDescent="0.3">
      <c r="IN187" s="3"/>
    </row>
    <row r="188" spans="248:519" x14ac:dyDescent="0.3">
      <c r="IN188" s="3"/>
    </row>
    <row r="189" spans="248:519" x14ac:dyDescent="0.3">
      <c r="IN189" s="3"/>
    </row>
    <row r="190" spans="248:519" x14ac:dyDescent="0.3">
      <c r="IN190" s="3"/>
    </row>
    <row r="191" spans="248:519" x14ac:dyDescent="0.3">
      <c r="IN191" s="3"/>
    </row>
    <row r="192" spans="248:519" x14ac:dyDescent="0.3">
      <c r="IN192" s="3"/>
    </row>
    <row r="193" spans="2:248" x14ac:dyDescent="0.3">
      <c r="IN193" s="3"/>
    </row>
    <row r="194" spans="2:248" x14ac:dyDescent="0.3">
      <c r="IN194" s="3"/>
    </row>
    <row r="195" spans="2:248" x14ac:dyDescent="0.3">
      <c r="IN195" s="3"/>
    </row>
    <row r="196" spans="2:248" x14ac:dyDescent="0.3">
      <c r="IN196" s="3"/>
    </row>
    <row r="197" spans="2:248" x14ac:dyDescent="0.3">
      <c r="IN197" s="3"/>
    </row>
    <row r="198" spans="2:248" x14ac:dyDescent="0.3">
      <c r="IN198" s="3"/>
    </row>
    <row r="199" spans="2:248" x14ac:dyDescent="0.3">
      <c r="IN199" s="3"/>
    </row>
    <row r="200" spans="2:248" x14ac:dyDescent="0.3">
      <c r="IN200" s="3"/>
    </row>
    <row r="201" spans="2:248" x14ac:dyDescent="0.3">
      <c r="IN201" s="3"/>
    </row>
    <row r="202" spans="2:248" x14ac:dyDescent="0.3">
      <c r="IN202" s="3"/>
    </row>
    <row r="203" spans="2:248" x14ac:dyDescent="0.3">
      <c r="IN203" s="3"/>
    </row>
    <row r="204" spans="2:248" x14ac:dyDescent="0.3">
      <c r="IN204" s="3"/>
    </row>
    <row r="205" spans="2:248" x14ac:dyDescent="0.3">
      <c r="B205" s="660"/>
      <c r="C205" s="660"/>
      <c r="D205" s="660"/>
      <c r="E205" s="660"/>
      <c r="F205" s="660"/>
      <c r="G205" s="660"/>
      <c r="H205" s="660"/>
      <c r="I205" s="660"/>
      <c r="J205" s="660"/>
      <c r="K205" s="660"/>
      <c r="L205" s="660"/>
      <c r="M205" s="660"/>
      <c r="N205" s="660"/>
      <c r="O205" s="660"/>
      <c r="IN205" s="3"/>
    </row>
    <row r="206" spans="2:248" x14ac:dyDescent="0.3">
      <c r="IN206" s="3"/>
    </row>
    <row r="207" spans="2:248" x14ac:dyDescent="0.3">
      <c r="IN207" s="3"/>
    </row>
    <row r="208" spans="2:248" x14ac:dyDescent="0.3">
      <c r="IN208" s="3"/>
    </row>
    <row r="209" spans="248:248" x14ac:dyDescent="0.3">
      <c r="IN209" s="3"/>
    </row>
    <row r="210" spans="248:248" x14ac:dyDescent="0.3">
      <c r="IN210" s="3"/>
    </row>
    <row r="211" spans="248:248" x14ac:dyDescent="0.3">
      <c r="IN211" s="3"/>
    </row>
    <row r="212" spans="248:248" x14ac:dyDescent="0.3">
      <c r="IN212" s="3"/>
    </row>
    <row r="213" spans="248:248" x14ac:dyDescent="0.3">
      <c r="IN213" s="3"/>
    </row>
    <row r="214" spans="248:248" x14ac:dyDescent="0.3">
      <c r="IN214" s="3"/>
    </row>
    <row r="215" spans="248:248" x14ac:dyDescent="0.3">
      <c r="IN215" s="3"/>
    </row>
    <row r="216" spans="248:248" x14ac:dyDescent="0.3">
      <c r="IN216" s="3"/>
    </row>
    <row r="217" spans="248:248" x14ac:dyDescent="0.3">
      <c r="IN217" s="3"/>
    </row>
    <row r="218" spans="248:248" x14ac:dyDescent="0.3">
      <c r="IN218" s="3"/>
    </row>
    <row r="219" spans="248:248" x14ac:dyDescent="0.3">
      <c r="IN219" s="3"/>
    </row>
    <row r="220" spans="248:248" x14ac:dyDescent="0.3">
      <c r="IN220" s="3"/>
    </row>
    <row r="221" spans="248:248" x14ac:dyDescent="0.3">
      <c r="IN221" s="3"/>
    </row>
    <row r="222" spans="248:248" x14ac:dyDescent="0.3">
      <c r="IN222" s="3"/>
    </row>
    <row r="223" spans="248:248" x14ac:dyDescent="0.3">
      <c r="IN223" s="3"/>
    </row>
    <row r="224" spans="248:248" x14ac:dyDescent="0.3">
      <c r="IN224" s="3"/>
    </row>
  </sheetData>
  <mergeCells count="1">
    <mergeCell ref="B205:O205"/>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0456E-E7D3-431D-8E34-98DA2FB3C6D8}">
  <sheetPr codeName="Sheet19"/>
  <dimension ref="A4:Q591"/>
  <sheetViews>
    <sheetView showGridLines="0" zoomScale="85" zoomScaleNormal="85" workbookViewId="0">
      <selection activeCell="B1" sqref="B1"/>
    </sheetView>
  </sheetViews>
  <sheetFormatPr defaultColWidth="9.109375" defaultRowHeight="14.4" x14ac:dyDescent="0.3"/>
  <cols>
    <col min="1" max="1" width="27.109375" bestFit="1" customWidth="1"/>
    <col min="2" max="2" width="70.88671875" bestFit="1" customWidth="1"/>
    <col min="3" max="3" width="55.88671875" bestFit="1" customWidth="1"/>
    <col min="4" max="4" width="7.6640625" style="2" bestFit="1" customWidth="1"/>
    <col min="5" max="5" width="7.6640625" bestFit="1" customWidth="1"/>
    <col min="6" max="6" width="7" customWidth="1"/>
    <col min="7" max="7" width="7.5546875" bestFit="1" customWidth="1"/>
    <col min="8" max="8" width="23.5546875" customWidth="1"/>
    <col min="9" max="9" width="24.5546875" customWidth="1"/>
    <col min="10" max="10" width="18.5546875" customWidth="1"/>
    <col min="13" max="13" width="10" customWidth="1"/>
  </cols>
  <sheetData>
    <row r="4" spans="1:5" x14ac:dyDescent="0.3">
      <c r="E4" s="102"/>
    </row>
    <row r="5" spans="1:5" ht="15" thickBot="1" x14ac:dyDescent="0.35">
      <c r="A5" s="667" t="s">
        <v>1240</v>
      </c>
      <c r="B5" s="667"/>
      <c r="C5" s="667"/>
      <c r="D5" s="667"/>
      <c r="E5" s="667"/>
    </row>
    <row r="6" spans="1:5" ht="30.75" customHeight="1" x14ac:dyDescent="0.3">
      <c r="A6" s="487" t="s">
        <v>253</v>
      </c>
      <c r="B6" s="488" t="s">
        <v>254</v>
      </c>
      <c r="C6" s="489" t="s">
        <v>706</v>
      </c>
      <c r="D6" s="490" t="s">
        <v>107</v>
      </c>
      <c r="E6" s="491" t="s">
        <v>703</v>
      </c>
    </row>
    <row r="7" spans="1:5" x14ac:dyDescent="0.3">
      <c r="A7" s="492" t="s">
        <v>85</v>
      </c>
      <c r="B7" s="493" t="s">
        <v>255</v>
      </c>
      <c r="C7" t="s">
        <v>707</v>
      </c>
      <c r="D7" s="182">
        <v>1309.4455</v>
      </c>
      <c r="E7" s="494">
        <v>1029.8534999999999</v>
      </c>
    </row>
    <row r="8" spans="1:5" x14ac:dyDescent="0.3">
      <c r="A8" s="492" t="s">
        <v>85</v>
      </c>
      <c r="B8" s="493" t="s">
        <v>255</v>
      </c>
      <c r="C8" t="s">
        <v>708</v>
      </c>
      <c r="D8" s="182">
        <v>3571.4805000000001</v>
      </c>
      <c r="E8" s="494">
        <v>3614.9654999999998</v>
      </c>
    </row>
    <row r="9" spans="1:5" x14ac:dyDescent="0.3">
      <c r="A9" s="492" t="s">
        <v>85</v>
      </c>
      <c r="B9" s="493" t="s">
        <v>256</v>
      </c>
      <c r="C9" t="s">
        <v>709</v>
      </c>
      <c r="D9" s="182">
        <v>2321.0324999999998</v>
      </c>
      <c r="E9" s="494">
        <v>2376.5500000000002</v>
      </c>
    </row>
    <row r="10" spans="1:5" x14ac:dyDescent="0.3">
      <c r="A10" s="664" t="s">
        <v>1242</v>
      </c>
      <c r="B10" s="665"/>
      <c r="C10" s="666"/>
      <c r="D10" s="495">
        <v>7201.9584999999997</v>
      </c>
      <c r="E10" s="496">
        <v>7021.3689999999997</v>
      </c>
    </row>
    <row r="11" spans="1:5" x14ac:dyDescent="0.3">
      <c r="A11" s="492" t="s">
        <v>257</v>
      </c>
      <c r="B11" s="493" t="s">
        <v>258</v>
      </c>
      <c r="C11" t="s">
        <v>710</v>
      </c>
      <c r="D11" s="182">
        <v>37.671500000000002</v>
      </c>
      <c r="E11" s="494">
        <v>28.574000000000002</v>
      </c>
    </row>
    <row r="12" spans="1:5" x14ac:dyDescent="0.3">
      <c r="A12" s="664" t="s">
        <v>259</v>
      </c>
      <c r="B12" s="665"/>
      <c r="C12" s="666"/>
      <c r="D12" s="495">
        <v>37.671500000000002</v>
      </c>
      <c r="E12" s="496">
        <v>28.574000000000002</v>
      </c>
    </row>
    <row r="13" spans="1:5" x14ac:dyDescent="0.3">
      <c r="A13" s="492" t="s">
        <v>260</v>
      </c>
      <c r="B13" s="493" t="s">
        <v>261</v>
      </c>
      <c r="C13" t="s">
        <v>711</v>
      </c>
      <c r="D13" s="182">
        <v>2.0230000000000001</v>
      </c>
      <c r="E13" s="494">
        <v>0.48</v>
      </c>
    </row>
    <row r="14" spans="1:5" x14ac:dyDescent="0.3">
      <c r="A14" s="492" t="s">
        <v>260</v>
      </c>
      <c r="B14" s="493" t="s">
        <v>262</v>
      </c>
      <c r="C14" t="s">
        <v>712</v>
      </c>
      <c r="D14" s="182">
        <v>10.9245</v>
      </c>
      <c r="E14" s="494">
        <v>10.618</v>
      </c>
    </row>
    <row r="15" spans="1:5" x14ac:dyDescent="0.3">
      <c r="A15" s="492" t="s">
        <v>260</v>
      </c>
      <c r="B15" s="493" t="s">
        <v>263</v>
      </c>
      <c r="C15" t="s">
        <v>712</v>
      </c>
      <c r="D15" s="182">
        <v>0.372</v>
      </c>
      <c r="E15" s="494">
        <v>2.3675000000000002</v>
      </c>
    </row>
    <row r="16" spans="1:5" x14ac:dyDescent="0.3">
      <c r="A16" s="492" t="s">
        <v>260</v>
      </c>
      <c r="B16" s="493" t="s">
        <v>264</v>
      </c>
      <c r="C16" t="s">
        <v>713</v>
      </c>
      <c r="D16" s="182">
        <v>8.2515000000000001</v>
      </c>
      <c r="E16" s="494">
        <v>7.3529999999999998</v>
      </c>
    </row>
    <row r="17" spans="1:17" x14ac:dyDescent="0.3">
      <c r="A17" s="492" t="s">
        <v>260</v>
      </c>
      <c r="B17" s="493" t="s">
        <v>264</v>
      </c>
      <c r="C17" t="s">
        <v>714</v>
      </c>
      <c r="D17" s="182">
        <v>12.8485</v>
      </c>
      <c r="E17" s="494">
        <v>5.5385</v>
      </c>
    </row>
    <row r="18" spans="1:17" x14ac:dyDescent="0.3">
      <c r="A18" s="492" t="s">
        <v>260</v>
      </c>
      <c r="B18" s="493" t="s">
        <v>265</v>
      </c>
      <c r="C18" t="s">
        <v>715</v>
      </c>
      <c r="D18" s="182">
        <v>36.634500000000003</v>
      </c>
      <c r="E18" s="494">
        <v>44.795999999999999</v>
      </c>
    </row>
    <row r="19" spans="1:17" x14ac:dyDescent="0.3">
      <c r="A19" s="492" t="s">
        <v>260</v>
      </c>
      <c r="B19" s="493" t="s">
        <v>266</v>
      </c>
      <c r="C19" t="s">
        <v>716</v>
      </c>
      <c r="D19" s="182">
        <v>27.968499999999999</v>
      </c>
      <c r="E19" s="494">
        <v>27.678000000000001</v>
      </c>
    </row>
    <row r="20" spans="1:17" x14ac:dyDescent="0.3">
      <c r="A20" s="492" t="s">
        <v>260</v>
      </c>
      <c r="B20" s="493" t="s">
        <v>267</v>
      </c>
      <c r="C20" t="s">
        <v>717</v>
      </c>
      <c r="D20" s="182">
        <v>2.6480000000000001</v>
      </c>
      <c r="E20" s="494">
        <v>1.595</v>
      </c>
    </row>
    <row r="21" spans="1:17" x14ac:dyDescent="0.3">
      <c r="A21" s="664" t="s">
        <v>268</v>
      </c>
      <c r="B21" s="665"/>
      <c r="C21" s="666"/>
      <c r="D21" s="495">
        <v>101.6705</v>
      </c>
      <c r="E21" s="496">
        <v>100.426</v>
      </c>
    </row>
    <row r="22" spans="1:17" x14ac:dyDescent="0.3">
      <c r="A22" s="492" t="s">
        <v>179</v>
      </c>
      <c r="B22" s="493" t="s">
        <v>269</v>
      </c>
      <c r="C22" t="s">
        <v>718</v>
      </c>
      <c r="D22" s="182">
        <v>499.10149999999999</v>
      </c>
      <c r="E22" s="494">
        <v>502.9495</v>
      </c>
    </row>
    <row r="23" spans="1:17" x14ac:dyDescent="0.3">
      <c r="A23" s="492" t="s">
        <v>179</v>
      </c>
      <c r="B23" s="493" t="s">
        <v>270</v>
      </c>
      <c r="C23" t="s">
        <v>719</v>
      </c>
      <c r="D23" s="182">
        <v>324.65750000000003</v>
      </c>
      <c r="E23" s="494">
        <v>357.79250000000002</v>
      </c>
      <c r="I23" s="4"/>
      <c r="J23" s="4"/>
      <c r="K23" s="4"/>
      <c r="L23" s="4"/>
      <c r="M23" s="4"/>
      <c r="N23" s="477"/>
      <c r="O23" s="477"/>
      <c r="P23" s="477"/>
      <c r="Q23" s="477"/>
    </row>
    <row r="24" spans="1:17" x14ac:dyDescent="0.3">
      <c r="A24" s="664" t="s">
        <v>271</v>
      </c>
      <c r="B24" s="665"/>
      <c r="C24" s="666"/>
      <c r="D24" s="495">
        <v>823.75900000000001</v>
      </c>
      <c r="E24" s="496">
        <v>860.74199999999996</v>
      </c>
      <c r="J24" s="4"/>
      <c r="K24" s="4"/>
      <c r="L24" s="4"/>
      <c r="M24" s="4"/>
      <c r="N24" s="477"/>
      <c r="O24" s="477"/>
      <c r="P24" s="477"/>
      <c r="Q24" s="477"/>
    </row>
    <row r="25" spans="1:17" x14ac:dyDescent="0.3">
      <c r="A25" s="492" t="s">
        <v>180</v>
      </c>
      <c r="B25" s="493" t="s">
        <v>272</v>
      </c>
      <c r="C25" t="s">
        <v>720</v>
      </c>
      <c r="D25" s="182">
        <v>2.5999999999999999E-2</v>
      </c>
      <c r="E25" s="494">
        <v>2.5999999999999999E-2</v>
      </c>
      <c r="N25" s="15"/>
      <c r="O25" s="15"/>
      <c r="P25" s="15"/>
      <c r="Q25" s="15"/>
    </row>
    <row r="26" spans="1:17" x14ac:dyDescent="0.3">
      <c r="A26" s="492" t="s">
        <v>180</v>
      </c>
      <c r="B26" s="493" t="s">
        <v>273</v>
      </c>
      <c r="C26" t="s">
        <v>721</v>
      </c>
      <c r="D26" s="182">
        <v>0.3105</v>
      </c>
      <c r="E26" s="494">
        <v>0.29949999999999999</v>
      </c>
      <c r="J26" s="4"/>
      <c r="K26" s="4"/>
      <c r="M26" s="4"/>
      <c r="N26" s="477"/>
      <c r="O26" s="477"/>
      <c r="P26" s="477"/>
      <c r="Q26" s="477"/>
    </row>
    <row r="27" spans="1:17" x14ac:dyDescent="0.3">
      <c r="A27" s="492" t="s">
        <v>180</v>
      </c>
      <c r="B27" s="493" t="s">
        <v>274</v>
      </c>
      <c r="C27" t="s">
        <v>722</v>
      </c>
      <c r="D27" s="182">
        <v>0.46850000000000003</v>
      </c>
      <c r="E27" s="494">
        <v>0.82499999999999996</v>
      </c>
      <c r="J27" s="4"/>
      <c r="K27" s="4"/>
      <c r="M27" s="4"/>
      <c r="N27" s="477"/>
      <c r="O27" s="477"/>
      <c r="P27" s="477"/>
      <c r="Q27" s="477"/>
    </row>
    <row r="28" spans="1:17" x14ac:dyDescent="0.3">
      <c r="A28" s="492" t="s">
        <v>180</v>
      </c>
      <c r="B28" s="493" t="s">
        <v>275</v>
      </c>
      <c r="C28" t="s">
        <v>723</v>
      </c>
      <c r="D28" s="182">
        <v>2.35E-2</v>
      </c>
      <c r="E28" s="494">
        <v>3.5000000000000003E-2</v>
      </c>
      <c r="N28" s="15"/>
      <c r="O28" s="15"/>
      <c r="P28" s="15"/>
      <c r="Q28" s="15"/>
    </row>
    <row r="29" spans="1:17" x14ac:dyDescent="0.3">
      <c r="A29" s="492" t="s">
        <v>180</v>
      </c>
      <c r="B29" s="493" t="s">
        <v>276</v>
      </c>
      <c r="C29" t="s">
        <v>724</v>
      </c>
      <c r="D29" s="182">
        <v>2.58</v>
      </c>
      <c r="E29" s="494">
        <v>2.58</v>
      </c>
      <c r="J29" s="4"/>
      <c r="K29" s="4"/>
      <c r="M29" s="4"/>
      <c r="N29" s="477"/>
      <c r="O29" s="477"/>
      <c r="P29" s="477"/>
      <c r="Q29" s="477"/>
    </row>
    <row r="30" spans="1:17" x14ac:dyDescent="0.3">
      <c r="A30" s="492" t="s">
        <v>180</v>
      </c>
      <c r="B30" s="493" t="s">
        <v>277</v>
      </c>
      <c r="C30" t="s">
        <v>725</v>
      </c>
      <c r="D30" s="182">
        <v>8.0000000000000002E-3</v>
      </c>
      <c r="E30" s="494">
        <v>0</v>
      </c>
      <c r="J30" s="4"/>
      <c r="K30" s="4"/>
      <c r="M30" s="4"/>
      <c r="N30" s="477"/>
      <c r="O30" s="477"/>
      <c r="P30" s="477"/>
      <c r="Q30" s="477"/>
    </row>
    <row r="31" spans="1:17" x14ac:dyDescent="0.3">
      <c r="A31" s="492" t="s">
        <v>180</v>
      </c>
      <c r="B31" s="493" t="s">
        <v>278</v>
      </c>
      <c r="C31" t="s">
        <v>726</v>
      </c>
      <c r="D31" s="182">
        <v>3.1480000000000001</v>
      </c>
      <c r="E31" s="494">
        <v>5.367</v>
      </c>
      <c r="J31" s="4"/>
      <c r="K31" s="4"/>
      <c r="M31" s="4"/>
      <c r="N31" s="477"/>
      <c r="O31" s="477"/>
      <c r="P31" s="477"/>
      <c r="Q31" s="477"/>
    </row>
    <row r="32" spans="1:17" x14ac:dyDescent="0.3">
      <c r="A32" s="492" t="s">
        <v>180</v>
      </c>
      <c r="B32" s="493" t="s">
        <v>279</v>
      </c>
      <c r="C32" t="s">
        <v>727</v>
      </c>
      <c r="D32" s="182">
        <v>22.790500000000002</v>
      </c>
      <c r="E32" s="494">
        <v>23.397500000000001</v>
      </c>
      <c r="J32" s="4"/>
      <c r="K32" s="4"/>
      <c r="M32" s="4"/>
      <c r="N32" s="477"/>
      <c r="O32" s="477"/>
      <c r="P32" s="15"/>
      <c r="Q32" s="15"/>
    </row>
    <row r="33" spans="1:17" x14ac:dyDescent="0.3">
      <c r="A33" s="492" t="s">
        <v>180</v>
      </c>
      <c r="B33" s="493" t="s">
        <v>280</v>
      </c>
      <c r="C33" t="s">
        <v>728</v>
      </c>
      <c r="D33" s="182">
        <v>0.1</v>
      </c>
      <c r="E33" s="494">
        <v>0</v>
      </c>
      <c r="J33" s="4"/>
      <c r="K33" s="4"/>
      <c r="M33" s="4"/>
      <c r="N33" s="477"/>
      <c r="O33" s="477"/>
      <c r="P33" s="477"/>
      <c r="Q33" s="477"/>
    </row>
    <row r="34" spans="1:17" x14ac:dyDescent="0.3">
      <c r="A34" s="492" t="s">
        <v>180</v>
      </c>
      <c r="B34" s="493" t="s">
        <v>281</v>
      </c>
      <c r="C34" t="s">
        <v>729</v>
      </c>
      <c r="D34" s="182">
        <v>0.74399999999999999</v>
      </c>
      <c r="E34" s="494">
        <v>0.63649999999999995</v>
      </c>
      <c r="J34" s="4"/>
      <c r="K34" s="4"/>
      <c r="M34" s="4"/>
      <c r="N34" s="477"/>
      <c r="O34" s="477"/>
      <c r="P34" s="15"/>
      <c r="Q34" s="15"/>
    </row>
    <row r="35" spans="1:17" x14ac:dyDescent="0.3">
      <c r="A35" s="492" t="s">
        <v>180</v>
      </c>
      <c r="B35" s="493" t="s">
        <v>282</v>
      </c>
      <c r="C35" t="s">
        <v>730</v>
      </c>
      <c r="D35" s="182">
        <v>3.9075000000000002</v>
      </c>
      <c r="E35" s="494">
        <v>5.6565000000000003</v>
      </c>
      <c r="J35" s="4"/>
      <c r="K35" s="4"/>
      <c r="M35" s="4"/>
      <c r="N35" s="477"/>
      <c r="O35" s="477"/>
      <c r="P35" s="477"/>
      <c r="Q35" s="477"/>
    </row>
    <row r="36" spans="1:17" x14ac:dyDescent="0.3">
      <c r="A36" s="492" t="s">
        <v>180</v>
      </c>
      <c r="B36" s="493" t="s">
        <v>282</v>
      </c>
      <c r="C36" t="s">
        <v>731</v>
      </c>
      <c r="D36" s="182">
        <v>5.4104999999999999</v>
      </c>
      <c r="E36" s="494">
        <v>7.18</v>
      </c>
      <c r="J36" s="4"/>
      <c r="K36" s="4"/>
      <c r="M36" s="4"/>
      <c r="N36" s="477"/>
      <c r="O36" s="477"/>
      <c r="P36" s="15"/>
      <c r="Q36" s="15"/>
    </row>
    <row r="37" spans="1:17" x14ac:dyDescent="0.3">
      <c r="A37" s="492" t="s">
        <v>180</v>
      </c>
      <c r="B37" s="493" t="s">
        <v>282</v>
      </c>
      <c r="C37" t="s">
        <v>732</v>
      </c>
      <c r="D37" s="182">
        <v>8.5410000000000004</v>
      </c>
      <c r="E37" s="494">
        <v>11.298500000000001</v>
      </c>
      <c r="J37" s="4"/>
      <c r="K37" s="4"/>
      <c r="M37" s="4"/>
      <c r="N37" s="477"/>
      <c r="O37" s="477"/>
      <c r="P37" s="477"/>
      <c r="Q37" s="477"/>
    </row>
    <row r="38" spans="1:17" x14ac:dyDescent="0.3">
      <c r="A38" s="492" t="s">
        <v>180</v>
      </c>
      <c r="B38" s="493" t="s">
        <v>283</v>
      </c>
      <c r="C38" t="s">
        <v>733</v>
      </c>
      <c r="D38" s="182">
        <v>0</v>
      </c>
      <c r="E38" s="494">
        <v>0.29499999999999998</v>
      </c>
      <c r="J38" s="4"/>
      <c r="K38" s="4"/>
      <c r="M38" s="4"/>
      <c r="N38" s="477"/>
      <c r="O38" s="477"/>
      <c r="P38" s="477"/>
      <c r="Q38" s="477"/>
    </row>
    <row r="39" spans="1:17" x14ac:dyDescent="0.3">
      <c r="A39" s="492" t="s">
        <v>180</v>
      </c>
      <c r="B39" s="493" t="s">
        <v>284</v>
      </c>
      <c r="C39" t="s">
        <v>734</v>
      </c>
      <c r="D39" s="182">
        <v>2.726</v>
      </c>
      <c r="E39" s="494">
        <v>0.41199999999999998</v>
      </c>
      <c r="J39" s="4"/>
      <c r="K39" s="4"/>
      <c r="M39" s="4"/>
      <c r="N39" s="477"/>
      <c r="O39" s="477"/>
      <c r="P39" s="15"/>
      <c r="Q39" s="15"/>
    </row>
    <row r="40" spans="1:17" x14ac:dyDescent="0.3">
      <c r="A40" s="492" t="s">
        <v>180</v>
      </c>
      <c r="B40" s="493" t="s">
        <v>285</v>
      </c>
      <c r="C40" t="s">
        <v>735</v>
      </c>
      <c r="D40" s="182">
        <v>81.087999999999994</v>
      </c>
      <c r="E40" s="494">
        <v>90.770499999999998</v>
      </c>
      <c r="J40" s="4"/>
      <c r="K40" s="4"/>
      <c r="M40" s="4"/>
      <c r="N40" s="477"/>
      <c r="O40" s="477"/>
      <c r="P40" s="15"/>
      <c r="Q40" s="15"/>
    </row>
    <row r="41" spans="1:17" x14ac:dyDescent="0.3">
      <c r="A41" s="492" t="s">
        <v>180</v>
      </c>
      <c r="B41" s="493" t="s">
        <v>286</v>
      </c>
      <c r="C41" t="s">
        <v>736</v>
      </c>
      <c r="D41" s="182">
        <v>1.4564999999999999</v>
      </c>
      <c r="E41" s="494">
        <v>2.7170000000000001</v>
      </c>
      <c r="J41" s="4"/>
      <c r="K41" s="4"/>
      <c r="M41" s="4"/>
      <c r="N41" s="477"/>
      <c r="O41" s="477"/>
      <c r="P41" s="477"/>
      <c r="Q41" s="477"/>
    </row>
    <row r="42" spans="1:17" x14ac:dyDescent="0.3">
      <c r="A42" s="492" t="s">
        <v>180</v>
      </c>
      <c r="B42" s="493" t="s">
        <v>287</v>
      </c>
      <c r="C42" t="s">
        <v>737</v>
      </c>
      <c r="D42" s="182">
        <v>0.19750000000000001</v>
      </c>
      <c r="E42" s="494">
        <v>0.23849999999999999</v>
      </c>
      <c r="J42" s="4"/>
      <c r="K42" s="4"/>
      <c r="M42" s="4"/>
      <c r="N42" s="477"/>
      <c r="O42" s="477"/>
      <c r="P42" s="15"/>
      <c r="Q42" s="15"/>
    </row>
    <row r="43" spans="1:17" x14ac:dyDescent="0.3">
      <c r="A43" s="492" t="s">
        <v>180</v>
      </c>
      <c r="B43" s="493" t="s">
        <v>287</v>
      </c>
      <c r="C43" t="s">
        <v>738</v>
      </c>
      <c r="D43" s="182">
        <v>53.366500000000002</v>
      </c>
      <c r="E43" s="494">
        <v>24.715499999999999</v>
      </c>
      <c r="J43" s="4"/>
      <c r="K43" s="4"/>
      <c r="M43" s="4"/>
      <c r="N43" s="477"/>
      <c r="O43" s="477"/>
      <c r="P43" s="477"/>
      <c r="Q43" s="477"/>
    </row>
    <row r="44" spans="1:17" x14ac:dyDescent="0.3">
      <c r="A44" s="492" t="s">
        <v>180</v>
      </c>
      <c r="B44" s="493" t="s">
        <v>287</v>
      </c>
      <c r="C44" t="s">
        <v>739</v>
      </c>
      <c r="D44" s="182">
        <v>28.5595</v>
      </c>
      <c r="E44" s="494">
        <v>19.9435</v>
      </c>
      <c r="J44" s="4"/>
      <c r="K44" s="4"/>
      <c r="M44" s="4"/>
      <c r="N44" s="477"/>
      <c r="O44" s="477"/>
      <c r="P44" s="15"/>
      <c r="Q44" s="15"/>
    </row>
    <row r="45" spans="1:17" x14ac:dyDescent="0.3">
      <c r="A45" s="492" t="s">
        <v>180</v>
      </c>
      <c r="B45" s="493" t="s">
        <v>287</v>
      </c>
      <c r="C45" t="s">
        <v>740</v>
      </c>
      <c r="D45" s="182">
        <v>10.9495</v>
      </c>
      <c r="E45" s="494">
        <v>2.7195</v>
      </c>
      <c r="N45" s="15"/>
      <c r="O45" s="15"/>
      <c r="P45" s="15"/>
      <c r="Q45" s="15"/>
    </row>
    <row r="46" spans="1:17" x14ac:dyDescent="0.3">
      <c r="A46" s="492" t="s">
        <v>180</v>
      </c>
      <c r="B46" s="493" t="s">
        <v>287</v>
      </c>
      <c r="C46" t="s">
        <v>741</v>
      </c>
      <c r="D46" s="182">
        <v>2.2425000000000002</v>
      </c>
      <c r="E46" s="494">
        <v>21.169499999999999</v>
      </c>
      <c r="J46" s="4"/>
      <c r="K46" s="4"/>
      <c r="M46" s="4"/>
      <c r="N46" s="477"/>
      <c r="O46" s="477"/>
      <c r="P46" s="477"/>
      <c r="Q46" s="477"/>
    </row>
    <row r="47" spans="1:17" x14ac:dyDescent="0.3">
      <c r="A47" s="492" t="s">
        <v>180</v>
      </c>
      <c r="B47" s="493" t="s">
        <v>287</v>
      </c>
      <c r="C47" t="s">
        <v>742</v>
      </c>
      <c r="D47" s="182">
        <v>6.0000000000000001E-3</v>
      </c>
      <c r="E47" s="494">
        <v>0.16500000000000001</v>
      </c>
      <c r="N47" s="15"/>
      <c r="O47" s="15"/>
      <c r="P47" s="15"/>
      <c r="Q47" s="15"/>
    </row>
    <row r="48" spans="1:17" x14ac:dyDescent="0.3">
      <c r="A48" s="492" t="s">
        <v>180</v>
      </c>
      <c r="B48" s="493" t="s">
        <v>288</v>
      </c>
      <c r="C48" t="s">
        <v>743</v>
      </c>
      <c r="D48" s="182">
        <v>1.4239999999999999</v>
      </c>
      <c r="E48" s="494">
        <v>1.4404999999999999</v>
      </c>
      <c r="J48" s="4"/>
      <c r="K48" s="4"/>
      <c r="M48" s="4"/>
      <c r="N48" s="477"/>
      <c r="O48" s="477"/>
    </row>
    <row r="49" spans="1:15" x14ac:dyDescent="0.3">
      <c r="A49" s="492" t="s">
        <v>180</v>
      </c>
      <c r="B49" s="493" t="s">
        <v>288</v>
      </c>
      <c r="C49" t="s">
        <v>744</v>
      </c>
      <c r="D49" s="182">
        <v>0.13700000000000001</v>
      </c>
      <c r="E49" s="494">
        <v>5.5E-2</v>
      </c>
      <c r="N49" s="15"/>
      <c r="O49" s="15"/>
    </row>
    <row r="50" spans="1:15" x14ac:dyDescent="0.3">
      <c r="A50" s="492" t="s">
        <v>180</v>
      </c>
      <c r="B50" s="493" t="s">
        <v>289</v>
      </c>
      <c r="C50" t="s">
        <v>745</v>
      </c>
      <c r="D50" s="182">
        <v>5.7984999999999998</v>
      </c>
      <c r="E50" s="494">
        <v>5.8949999999999996</v>
      </c>
      <c r="N50" s="15"/>
      <c r="O50" s="15"/>
    </row>
    <row r="51" spans="1:15" x14ac:dyDescent="0.3">
      <c r="A51" s="492" t="s">
        <v>180</v>
      </c>
      <c r="B51" s="493" t="s">
        <v>290</v>
      </c>
      <c r="C51" t="s">
        <v>746</v>
      </c>
      <c r="D51" s="182">
        <v>0.23150000000000001</v>
      </c>
      <c r="E51" s="494">
        <v>3.15E-2</v>
      </c>
      <c r="J51" s="4"/>
      <c r="K51" s="4"/>
      <c r="M51" s="4"/>
      <c r="N51" s="477"/>
      <c r="O51" s="15"/>
    </row>
    <row r="52" spans="1:15" x14ac:dyDescent="0.3">
      <c r="A52" s="492" t="s">
        <v>180</v>
      </c>
      <c r="B52" s="493" t="s">
        <v>290</v>
      </c>
      <c r="C52" t="s">
        <v>747</v>
      </c>
      <c r="D52" s="182">
        <v>1.9359999999999999</v>
      </c>
      <c r="E52" s="494">
        <v>0.14549999999999999</v>
      </c>
      <c r="J52" s="4"/>
      <c r="K52" s="4"/>
      <c r="M52" s="4"/>
      <c r="N52" s="477"/>
      <c r="O52" s="15"/>
    </row>
    <row r="53" spans="1:15" x14ac:dyDescent="0.3">
      <c r="A53" s="492" t="s">
        <v>180</v>
      </c>
      <c r="B53" s="493" t="s">
        <v>291</v>
      </c>
      <c r="C53" t="s">
        <v>748</v>
      </c>
      <c r="D53" s="182">
        <v>17.5185</v>
      </c>
      <c r="E53" s="494">
        <v>8.5419999999999998</v>
      </c>
      <c r="J53" s="4"/>
      <c r="K53" s="4"/>
      <c r="M53" s="4"/>
      <c r="N53" s="477"/>
      <c r="O53" s="15"/>
    </row>
    <row r="54" spans="1:15" x14ac:dyDescent="0.3">
      <c r="A54" s="492" t="s">
        <v>180</v>
      </c>
      <c r="B54" s="493" t="s">
        <v>292</v>
      </c>
      <c r="C54" t="s">
        <v>749</v>
      </c>
      <c r="D54" s="182">
        <v>3.26</v>
      </c>
      <c r="E54" s="494">
        <v>1.17</v>
      </c>
      <c r="J54" s="4"/>
      <c r="K54" s="4"/>
      <c r="M54" s="4"/>
      <c r="N54" s="477"/>
      <c r="O54" s="15"/>
    </row>
    <row r="55" spans="1:15" x14ac:dyDescent="0.3">
      <c r="A55" s="492" t="s">
        <v>180</v>
      </c>
      <c r="B55" s="493" t="s">
        <v>292</v>
      </c>
      <c r="C55" t="s">
        <v>750</v>
      </c>
      <c r="D55" s="182">
        <v>0.96</v>
      </c>
      <c r="E55" s="494">
        <v>0.94799999999999995</v>
      </c>
      <c r="J55" s="4"/>
      <c r="K55" s="4"/>
      <c r="M55" s="4"/>
      <c r="N55" s="477"/>
      <c r="O55" s="15"/>
    </row>
    <row r="56" spans="1:15" x14ac:dyDescent="0.3">
      <c r="A56" s="492" t="s">
        <v>180</v>
      </c>
      <c r="B56" s="493" t="s">
        <v>293</v>
      </c>
      <c r="C56" t="s">
        <v>751</v>
      </c>
      <c r="D56" s="182">
        <v>3.6274999999999999</v>
      </c>
      <c r="E56" s="494">
        <v>3.6779999999999999</v>
      </c>
      <c r="J56" s="4"/>
      <c r="K56" s="4"/>
      <c r="M56" s="4"/>
      <c r="N56" s="477"/>
      <c r="O56" s="15"/>
    </row>
    <row r="57" spans="1:15" x14ac:dyDescent="0.3">
      <c r="A57" s="492" t="s">
        <v>180</v>
      </c>
      <c r="B57" s="493" t="s">
        <v>294</v>
      </c>
      <c r="C57" t="s">
        <v>752</v>
      </c>
      <c r="D57" s="182">
        <v>3.2500000000000001E-2</v>
      </c>
      <c r="E57" s="494">
        <v>0.30249999999999999</v>
      </c>
      <c r="J57" s="4"/>
      <c r="K57" s="4"/>
      <c r="M57" s="4"/>
      <c r="N57" s="477"/>
      <c r="O57" s="15"/>
    </row>
    <row r="58" spans="1:15" x14ac:dyDescent="0.3">
      <c r="A58" s="492" t="s">
        <v>180</v>
      </c>
      <c r="B58" s="493" t="s">
        <v>295</v>
      </c>
      <c r="C58" t="s">
        <v>753</v>
      </c>
      <c r="D58" s="182">
        <v>1.4470000000000001</v>
      </c>
      <c r="E58" s="494">
        <v>3.3614999999999999</v>
      </c>
      <c r="J58" s="4"/>
      <c r="K58" s="4"/>
      <c r="M58" s="4"/>
      <c r="N58" s="477"/>
      <c r="O58" s="15"/>
    </row>
    <row r="59" spans="1:15" x14ac:dyDescent="0.3">
      <c r="A59" s="492" t="s">
        <v>180</v>
      </c>
      <c r="B59" s="493" t="s">
        <v>296</v>
      </c>
      <c r="C59" t="s">
        <v>754</v>
      </c>
      <c r="D59" s="182">
        <v>0.55149999999999999</v>
      </c>
      <c r="E59" s="494">
        <v>0.2205</v>
      </c>
      <c r="J59" s="4"/>
      <c r="K59" s="4"/>
      <c r="M59" s="4"/>
      <c r="N59" s="477"/>
      <c r="O59" s="15"/>
    </row>
    <row r="60" spans="1:15" x14ac:dyDescent="0.3">
      <c r="A60" s="492" t="s">
        <v>180</v>
      </c>
      <c r="B60" s="493" t="s">
        <v>297</v>
      </c>
      <c r="C60" t="s">
        <v>755</v>
      </c>
      <c r="D60" s="182">
        <v>0.02</v>
      </c>
      <c r="E60" s="494">
        <v>0</v>
      </c>
      <c r="J60" s="4"/>
      <c r="K60" s="4"/>
      <c r="M60" s="4"/>
      <c r="N60" s="477"/>
      <c r="O60" s="15"/>
    </row>
    <row r="61" spans="1:15" x14ac:dyDescent="0.3">
      <c r="A61" s="492" t="s">
        <v>180</v>
      </c>
      <c r="B61" s="493" t="s">
        <v>298</v>
      </c>
      <c r="C61" t="s">
        <v>756</v>
      </c>
      <c r="D61" s="182">
        <v>0.13100000000000001</v>
      </c>
      <c r="E61" s="494">
        <v>0.13450000000000001</v>
      </c>
      <c r="J61" s="4"/>
      <c r="K61" s="4"/>
      <c r="M61" s="4"/>
      <c r="N61" s="477"/>
      <c r="O61" s="15"/>
    </row>
    <row r="62" spans="1:15" x14ac:dyDescent="0.3">
      <c r="A62" s="492" t="s">
        <v>180</v>
      </c>
      <c r="B62" s="493" t="s">
        <v>299</v>
      </c>
      <c r="C62" t="s">
        <v>757</v>
      </c>
      <c r="D62" s="182">
        <v>0.57650000000000001</v>
      </c>
      <c r="E62" s="494">
        <v>2.129</v>
      </c>
      <c r="J62" s="4"/>
      <c r="K62" s="4"/>
      <c r="M62" s="4"/>
      <c r="N62" s="477"/>
      <c r="O62" s="15"/>
    </row>
    <row r="63" spans="1:15" x14ac:dyDescent="0.3">
      <c r="A63" s="492" t="s">
        <v>180</v>
      </c>
      <c r="B63" s="493" t="s">
        <v>300</v>
      </c>
      <c r="C63" t="s">
        <v>758</v>
      </c>
      <c r="D63" s="182">
        <v>0.21099999999999999</v>
      </c>
      <c r="E63" s="494">
        <v>0.20449999999999999</v>
      </c>
      <c r="J63" s="4"/>
      <c r="K63" s="4"/>
      <c r="M63" s="4"/>
      <c r="N63" s="477"/>
      <c r="O63" s="15"/>
    </row>
    <row r="64" spans="1:15" x14ac:dyDescent="0.3">
      <c r="A64" s="492" t="s">
        <v>180</v>
      </c>
      <c r="B64" s="493" t="s">
        <v>301</v>
      </c>
      <c r="C64" t="s">
        <v>759</v>
      </c>
      <c r="D64" s="182">
        <v>0.107</v>
      </c>
      <c r="E64" s="494">
        <v>2.6499999999999999E-2</v>
      </c>
      <c r="J64" s="4"/>
      <c r="K64" s="4"/>
      <c r="M64" s="4"/>
      <c r="N64" s="477"/>
      <c r="O64" s="15"/>
    </row>
    <row r="65" spans="1:15" x14ac:dyDescent="0.3">
      <c r="A65" s="492" t="s">
        <v>180</v>
      </c>
      <c r="B65" s="493" t="s">
        <v>302</v>
      </c>
      <c r="C65" t="s">
        <v>760</v>
      </c>
      <c r="D65" s="182">
        <v>3.7324999999999999</v>
      </c>
      <c r="E65" s="494">
        <v>4.1654999999999998</v>
      </c>
      <c r="J65" s="4"/>
      <c r="K65" s="4"/>
      <c r="M65" s="4"/>
      <c r="N65" s="477"/>
      <c r="O65" s="477"/>
    </row>
    <row r="66" spans="1:15" x14ac:dyDescent="0.3">
      <c r="A66" s="492" t="s">
        <v>180</v>
      </c>
      <c r="B66" s="493" t="s">
        <v>303</v>
      </c>
      <c r="C66" t="s">
        <v>761</v>
      </c>
      <c r="D66" s="182">
        <v>0.24</v>
      </c>
      <c r="E66" s="494">
        <v>0.24</v>
      </c>
      <c r="J66" s="4"/>
      <c r="K66" s="4"/>
      <c r="M66" s="4"/>
      <c r="N66" s="477"/>
      <c r="O66" s="15"/>
    </row>
    <row r="67" spans="1:15" x14ac:dyDescent="0.3">
      <c r="A67" s="492" t="s">
        <v>180</v>
      </c>
      <c r="B67" s="493" t="s">
        <v>304</v>
      </c>
      <c r="C67" t="s">
        <v>762</v>
      </c>
      <c r="D67" s="182">
        <v>0.184</v>
      </c>
      <c r="E67" s="494">
        <v>0.1265</v>
      </c>
      <c r="J67" s="4"/>
      <c r="K67" s="4"/>
      <c r="M67" s="4"/>
      <c r="N67" s="477"/>
      <c r="O67" s="15"/>
    </row>
    <row r="68" spans="1:15" x14ac:dyDescent="0.3">
      <c r="A68" s="492" t="s">
        <v>180</v>
      </c>
      <c r="B68" s="493" t="s">
        <v>305</v>
      </c>
      <c r="C68" t="s">
        <v>763</v>
      </c>
      <c r="D68" s="182">
        <v>4.1890000000000001</v>
      </c>
      <c r="E68" s="494">
        <v>6.3869999999999996</v>
      </c>
      <c r="J68" s="4"/>
      <c r="K68" s="4"/>
      <c r="M68" s="4"/>
      <c r="N68" s="477"/>
      <c r="O68" s="477"/>
    </row>
    <row r="69" spans="1:15" x14ac:dyDescent="0.3">
      <c r="A69" s="492" t="s">
        <v>180</v>
      </c>
      <c r="B69" s="493" t="s">
        <v>306</v>
      </c>
      <c r="C69" t="s">
        <v>764</v>
      </c>
      <c r="D69" s="182">
        <v>2.6059999999999999</v>
      </c>
      <c r="E69" s="494">
        <v>2.6055000000000001</v>
      </c>
      <c r="J69" s="4"/>
      <c r="K69" s="4"/>
      <c r="M69" s="4"/>
      <c r="N69" s="477"/>
      <c r="O69" s="15"/>
    </row>
    <row r="70" spans="1:15" x14ac:dyDescent="0.3">
      <c r="A70" s="492" t="s">
        <v>180</v>
      </c>
      <c r="B70" s="493" t="s">
        <v>306</v>
      </c>
      <c r="C70" t="s">
        <v>765</v>
      </c>
      <c r="D70" s="182">
        <v>7.3224999999999998</v>
      </c>
      <c r="E70" s="494">
        <v>3.0470000000000002</v>
      </c>
      <c r="J70" s="4"/>
      <c r="K70" s="4"/>
      <c r="M70" s="4"/>
      <c r="N70" s="477"/>
      <c r="O70" s="477"/>
    </row>
    <row r="71" spans="1:15" x14ac:dyDescent="0.3">
      <c r="A71" s="492" t="s">
        <v>180</v>
      </c>
      <c r="B71" s="493" t="s">
        <v>306</v>
      </c>
      <c r="C71" t="s">
        <v>766</v>
      </c>
      <c r="D71" s="182">
        <v>14.6105</v>
      </c>
      <c r="E71" s="494">
        <v>16.957000000000001</v>
      </c>
      <c r="J71" s="4"/>
      <c r="K71" s="4"/>
      <c r="M71" s="4"/>
      <c r="N71" s="477"/>
      <c r="O71" s="15"/>
    </row>
    <row r="72" spans="1:15" x14ac:dyDescent="0.3">
      <c r="A72" s="492" t="s">
        <v>180</v>
      </c>
      <c r="B72" s="493" t="s">
        <v>306</v>
      </c>
      <c r="C72" t="s">
        <v>767</v>
      </c>
      <c r="D72" s="182">
        <v>0.17</v>
      </c>
      <c r="E72" s="494">
        <v>0.95099999999999996</v>
      </c>
      <c r="J72" s="4"/>
      <c r="K72" s="4"/>
      <c r="M72" s="4"/>
      <c r="N72" s="477"/>
    </row>
    <row r="73" spans="1:15" x14ac:dyDescent="0.3">
      <c r="A73" s="492" t="s">
        <v>180</v>
      </c>
      <c r="B73" s="493" t="s">
        <v>306</v>
      </c>
      <c r="C73" t="s">
        <v>768</v>
      </c>
      <c r="D73" s="182">
        <v>8.2189999999999994</v>
      </c>
      <c r="E73" s="494">
        <v>9.6509999999999998</v>
      </c>
      <c r="J73" s="4"/>
      <c r="K73" s="4"/>
      <c r="M73" s="4"/>
      <c r="N73" s="477"/>
    </row>
    <row r="74" spans="1:15" x14ac:dyDescent="0.3">
      <c r="A74" s="492" t="s">
        <v>180</v>
      </c>
      <c r="B74" s="493" t="s">
        <v>306</v>
      </c>
      <c r="C74" t="s">
        <v>769</v>
      </c>
      <c r="D74" s="182">
        <v>19.236000000000001</v>
      </c>
      <c r="E74" s="494">
        <v>23.342500000000001</v>
      </c>
      <c r="J74" s="4"/>
      <c r="K74" s="4"/>
      <c r="M74" s="4"/>
      <c r="N74" s="477"/>
    </row>
    <row r="75" spans="1:15" x14ac:dyDescent="0.3">
      <c r="A75" s="492" t="s">
        <v>180</v>
      </c>
      <c r="B75" s="493" t="s">
        <v>306</v>
      </c>
      <c r="C75" t="s">
        <v>770</v>
      </c>
      <c r="D75" s="182">
        <v>43.387999999999998</v>
      </c>
      <c r="E75" s="494">
        <v>37.604500000000002</v>
      </c>
      <c r="J75" s="4"/>
      <c r="K75" s="4"/>
      <c r="M75" s="4"/>
      <c r="N75" s="477"/>
    </row>
    <row r="76" spans="1:15" x14ac:dyDescent="0.3">
      <c r="A76" s="492" t="s">
        <v>180</v>
      </c>
      <c r="B76" s="493" t="s">
        <v>306</v>
      </c>
      <c r="C76" t="s">
        <v>771</v>
      </c>
      <c r="D76" s="182">
        <v>0.47049999999999997</v>
      </c>
      <c r="E76" s="494">
        <v>1.6859999999999999</v>
      </c>
      <c r="J76" s="4"/>
      <c r="K76" s="4"/>
      <c r="M76" s="4"/>
      <c r="N76" s="477"/>
    </row>
    <row r="77" spans="1:15" x14ac:dyDescent="0.3">
      <c r="A77" s="492" t="s">
        <v>180</v>
      </c>
      <c r="B77" s="493" t="s">
        <v>306</v>
      </c>
      <c r="C77" t="s">
        <v>772</v>
      </c>
      <c r="D77" s="182">
        <v>9.3445</v>
      </c>
      <c r="E77" s="494">
        <v>10.331</v>
      </c>
      <c r="J77" s="4"/>
      <c r="K77" s="4"/>
      <c r="M77" s="4"/>
      <c r="N77" s="477"/>
    </row>
    <row r="78" spans="1:15" x14ac:dyDescent="0.3">
      <c r="A78" s="492" t="s">
        <v>180</v>
      </c>
      <c r="B78" s="493" t="s">
        <v>306</v>
      </c>
      <c r="C78" t="s">
        <v>773</v>
      </c>
      <c r="D78" s="182">
        <v>1.8859999999999999</v>
      </c>
      <c r="E78" s="494">
        <v>1.784</v>
      </c>
      <c r="J78" s="4"/>
      <c r="K78" s="4"/>
      <c r="M78" s="4"/>
      <c r="N78" s="477"/>
    </row>
    <row r="79" spans="1:15" x14ac:dyDescent="0.3">
      <c r="A79" s="492" t="s">
        <v>180</v>
      </c>
      <c r="B79" s="493" t="s">
        <v>307</v>
      </c>
      <c r="C79" t="s">
        <v>774</v>
      </c>
      <c r="D79" s="182">
        <v>4.5315000000000003</v>
      </c>
      <c r="E79" s="494">
        <v>4.8555000000000001</v>
      </c>
      <c r="J79" s="4"/>
      <c r="K79" s="4"/>
      <c r="M79" s="4"/>
      <c r="N79" s="477"/>
    </row>
    <row r="80" spans="1:15" x14ac:dyDescent="0.3">
      <c r="A80" s="492" t="s">
        <v>180</v>
      </c>
      <c r="B80" s="493" t="s">
        <v>307</v>
      </c>
      <c r="C80" t="s">
        <v>775</v>
      </c>
      <c r="D80" s="182">
        <v>2.2545000000000002</v>
      </c>
      <c r="E80" s="494">
        <v>3.0369999999999999</v>
      </c>
      <c r="J80" s="4"/>
      <c r="K80" s="4"/>
      <c r="M80" s="4"/>
      <c r="N80" s="477"/>
    </row>
    <row r="81" spans="1:14" x14ac:dyDescent="0.3">
      <c r="A81" s="492" t="s">
        <v>180</v>
      </c>
      <c r="B81" s="493" t="s">
        <v>307</v>
      </c>
      <c r="C81" t="s">
        <v>776</v>
      </c>
      <c r="D81" s="182">
        <v>10.196</v>
      </c>
      <c r="E81" s="494">
        <v>12.4575</v>
      </c>
      <c r="J81" s="4"/>
      <c r="K81" s="4"/>
      <c r="M81" s="4"/>
      <c r="N81" s="477"/>
    </row>
    <row r="82" spans="1:14" x14ac:dyDescent="0.3">
      <c r="A82" s="492" t="s">
        <v>180</v>
      </c>
      <c r="B82" s="493" t="s">
        <v>307</v>
      </c>
      <c r="C82" t="s">
        <v>777</v>
      </c>
      <c r="D82" s="182">
        <v>52.938000000000002</v>
      </c>
      <c r="E82" s="494">
        <v>66.147499999999994</v>
      </c>
      <c r="J82" s="4"/>
      <c r="K82" s="4"/>
      <c r="M82" s="4"/>
      <c r="N82" s="477"/>
    </row>
    <row r="83" spans="1:14" x14ac:dyDescent="0.3">
      <c r="A83" s="492" t="s">
        <v>180</v>
      </c>
      <c r="B83" s="493" t="s">
        <v>307</v>
      </c>
      <c r="C83" t="s">
        <v>778</v>
      </c>
      <c r="D83" s="182">
        <v>7.5914999999999999</v>
      </c>
      <c r="E83" s="494">
        <v>9.2279999999999998</v>
      </c>
      <c r="J83" s="4"/>
      <c r="K83" s="4"/>
      <c r="M83" s="4"/>
      <c r="N83" s="477"/>
    </row>
    <row r="84" spans="1:14" x14ac:dyDescent="0.3">
      <c r="A84" s="492" t="s">
        <v>180</v>
      </c>
      <c r="B84" s="493" t="s">
        <v>307</v>
      </c>
      <c r="C84" t="s">
        <v>779</v>
      </c>
      <c r="D84" s="182">
        <v>7.4320000000000004</v>
      </c>
      <c r="E84" s="494">
        <v>6.3734999999999999</v>
      </c>
      <c r="J84" s="4"/>
      <c r="K84" s="4"/>
      <c r="M84" s="4"/>
      <c r="N84" s="477"/>
    </row>
    <row r="85" spans="1:14" x14ac:dyDescent="0.3">
      <c r="A85" s="492" t="s">
        <v>180</v>
      </c>
      <c r="B85" s="493" t="s">
        <v>307</v>
      </c>
      <c r="C85" t="s">
        <v>780</v>
      </c>
      <c r="D85" s="182">
        <v>4.4664999999999999</v>
      </c>
      <c r="E85" s="494">
        <v>3.9544999999999999</v>
      </c>
      <c r="J85" s="4"/>
      <c r="K85" s="4"/>
      <c r="M85" s="4"/>
      <c r="N85" s="477"/>
    </row>
    <row r="86" spans="1:14" x14ac:dyDescent="0.3">
      <c r="A86" s="492" t="s">
        <v>180</v>
      </c>
      <c r="B86" s="493" t="s">
        <v>307</v>
      </c>
      <c r="C86" t="s">
        <v>781</v>
      </c>
      <c r="D86" s="182">
        <v>1.1459999999999999</v>
      </c>
      <c r="E86" s="494">
        <v>1.206</v>
      </c>
      <c r="J86" s="4"/>
      <c r="K86" s="4"/>
      <c r="M86" s="4"/>
      <c r="N86" s="477"/>
    </row>
    <row r="87" spans="1:14" x14ac:dyDescent="0.3">
      <c r="A87" s="492" t="s">
        <v>180</v>
      </c>
      <c r="B87" s="493" t="s">
        <v>307</v>
      </c>
      <c r="C87" t="s">
        <v>782</v>
      </c>
      <c r="D87" s="182">
        <v>9.2420000000000009</v>
      </c>
      <c r="E87" s="494">
        <v>16.065999999999999</v>
      </c>
      <c r="J87" s="4"/>
      <c r="K87" s="4"/>
      <c r="M87" s="4"/>
      <c r="N87" s="477"/>
    </row>
    <row r="88" spans="1:14" x14ac:dyDescent="0.3">
      <c r="A88" s="492" t="s">
        <v>180</v>
      </c>
      <c r="B88" s="493" t="s">
        <v>307</v>
      </c>
      <c r="C88" t="s">
        <v>783</v>
      </c>
      <c r="D88" s="182">
        <v>3.9464999999999999</v>
      </c>
      <c r="E88" s="494">
        <v>6.1265000000000001</v>
      </c>
      <c r="J88" s="4"/>
      <c r="K88" s="4"/>
      <c r="M88" s="4"/>
      <c r="N88" s="477"/>
    </row>
    <row r="89" spans="1:14" x14ac:dyDescent="0.3">
      <c r="A89" s="492" t="s">
        <v>180</v>
      </c>
      <c r="B89" s="493" t="s">
        <v>308</v>
      </c>
      <c r="C89" t="s">
        <v>784</v>
      </c>
      <c r="D89" s="182">
        <v>1.0725</v>
      </c>
      <c r="E89" s="494">
        <v>0.64449999999999996</v>
      </c>
      <c r="J89" s="4"/>
      <c r="K89" s="4"/>
      <c r="M89" s="4"/>
      <c r="N89" s="477"/>
    </row>
    <row r="90" spans="1:14" x14ac:dyDescent="0.3">
      <c r="A90" s="492" t="s">
        <v>180</v>
      </c>
      <c r="B90" s="493" t="s">
        <v>309</v>
      </c>
      <c r="C90" t="s">
        <v>785</v>
      </c>
      <c r="D90" s="182">
        <v>0.25</v>
      </c>
      <c r="E90" s="494">
        <v>0</v>
      </c>
      <c r="J90" s="4"/>
      <c r="K90" s="4"/>
      <c r="M90" s="4"/>
      <c r="N90" s="477"/>
    </row>
    <row r="91" spans="1:14" x14ac:dyDescent="0.3">
      <c r="A91" s="492" t="s">
        <v>180</v>
      </c>
      <c r="B91" s="493" t="s">
        <v>309</v>
      </c>
      <c r="C91" t="s">
        <v>786</v>
      </c>
      <c r="D91" s="182">
        <v>0.61099999999999999</v>
      </c>
      <c r="E91" s="494">
        <v>0.21</v>
      </c>
      <c r="J91" s="4"/>
      <c r="K91" s="4"/>
      <c r="M91" s="4"/>
      <c r="N91" s="477"/>
    </row>
    <row r="92" spans="1:14" x14ac:dyDescent="0.3">
      <c r="A92" s="492" t="s">
        <v>180</v>
      </c>
      <c r="B92" s="493" t="s">
        <v>309</v>
      </c>
      <c r="C92" t="s">
        <v>787</v>
      </c>
      <c r="D92" s="182">
        <v>0.128</v>
      </c>
      <c r="E92" s="494">
        <v>0.83</v>
      </c>
      <c r="J92" s="4"/>
      <c r="K92" s="4"/>
      <c r="M92" s="4"/>
      <c r="N92" s="477"/>
    </row>
    <row r="93" spans="1:14" x14ac:dyDescent="0.3">
      <c r="A93" s="492" t="s">
        <v>180</v>
      </c>
      <c r="B93" s="493" t="s">
        <v>309</v>
      </c>
      <c r="C93" t="s">
        <v>788</v>
      </c>
      <c r="D93" s="182">
        <v>0.98499999999999999</v>
      </c>
      <c r="E93" s="494">
        <v>0</v>
      </c>
      <c r="J93" s="4"/>
      <c r="K93" s="4"/>
      <c r="M93" s="4"/>
      <c r="N93" s="477"/>
    </row>
    <row r="94" spans="1:14" x14ac:dyDescent="0.3">
      <c r="A94" s="492" t="s">
        <v>180</v>
      </c>
      <c r="B94" s="493" t="s">
        <v>310</v>
      </c>
      <c r="C94" t="s">
        <v>789</v>
      </c>
      <c r="D94" s="182">
        <v>0.64649999999999996</v>
      </c>
      <c r="E94" s="494">
        <v>1.7244999999999999</v>
      </c>
      <c r="J94" s="4"/>
      <c r="K94" s="4"/>
      <c r="M94" s="4"/>
      <c r="N94" s="477"/>
    </row>
    <row r="95" spans="1:14" x14ac:dyDescent="0.3">
      <c r="A95" s="492" t="s">
        <v>180</v>
      </c>
      <c r="B95" s="493" t="s">
        <v>311</v>
      </c>
      <c r="C95" t="s">
        <v>790</v>
      </c>
      <c r="D95" s="182">
        <v>1.4E-2</v>
      </c>
      <c r="E95" s="494">
        <v>2.1000000000000001E-2</v>
      </c>
      <c r="J95" s="4"/>
      <c r="K95" s="4"/>
      <c r="M95" s="4"/>
      <c r="N95" s="477"/>
    </row>
    <row r="96" spans="1:14" x14ac:dyDescent="0.3">
      <c r="A96" s="492" t="s">
        <v>180</v>
      </c>
      <c r="B96" s="493" t="s">
        <v>312</v>
      </c>
      <c r="C96" t="s">
        <v>791</v>
      </c>
      <c r="D96" s="182">
        <v>0.23250000000000001</v>
      </c>
      <c r="E96" s="494">
        <v>0.3755</v>
      </c>
      <c r="J96" s="4"/>
      <c r="K96" s="4"/>
      <c r="M96" s="4"/>
      <c r="N96" s="477"/>
    </row>
    <row r="97" spans="1:14" x14ac:dyDescent="0.3">
      <c r="A97" s="492" t="s">
        <v>180</v>
      </c>
      <c r="B97" s="493" t="s">
        <v>313</v>
      </c>
      <c r="C97" t="s">
        <v>792</v>
      </c>
      <c r="D97" s="182">
        <v>7.6999999999999999E-2</v>
      </c>
      <c r="E97" s="494">
        <v>0.19750000000000001</v>
      </c>
      <c r="J97" s="4"/>
      <c r="K97" s="4"/>
      <c r="M97" s="4"/>
      <c r="N97" s="477"/>
    </row>
    <row r="98" spans="1:14" x14ac:dyDescent="0.3">
      <c r="A98" s="492" t="s">
        <v>180</v>
      </c>
      <c r="B98" s="493" t="s">
        <v>314</v>
      </c>
      <c r="C98" t="s">
        <v>793</v>
      </c>
      <c r="D98" s="182">
        <v>10.622</v>
      </c>
      <c r="E98" s="494">
        <v>10.269500000000001</v>
      </c>
      <c r="J98" s="4"/>
      <c r="K98" s="4"/>
      <c r="M98" s="4"/>
      <c r="N98" s="477"/>
    </row>
    <row r="99" spans="1:14" x14ac:dyDescent="0.3">
      <c r="A99" s="492" t="s">
        <v>180</v>
      </c>
      <c r="B99" s="493" t="s">
        <v>314</v>
      </c>
      <c r="C99" t="s">
        <v>794</v>
      </c>
      <c r="D99" s="182">
        <v>21.512499999999999</v>
      </c>
      <c r="E99" s="494">
        <v>16.2315</v>
      </c>
      <c r="J99" s="4"/>
      <c r="K99" s="4"/>
      <c r="M99" s="4"/>
      <c r="N99" s="477"/>
    </row>
    <row r="100" spans="1:14" x14ac:dyDescent="0.3">
      <c r="A100" s="492" t="s">
        <v>180</v>
      </c>
      <c r="B100" s="493" t="s">
        <v>315</v>
      </c>
      <c r="C100" t="s">
        <v>795</v>
      </c>
      <c r="D100" s="182">
        <v>117.741</v>
      </c>
      <c r="E100" s="494">
        <v>15.570499999999999</v>
      </c>
      <c r="J100" s="4"/>
      <c r="K100" s="4"/>
      <c r="M100" s="4"/>
      <c r="N100" s="477"/>
    </row>
    <row r="101" spans="1:14" x14ac:dyDescent="0.3">
      <c r="A101" s="492" t="s">
        <v>180</v>
      </c>
      <c r="B101" s="493" t="s">
        <v>316</v>
      </c>
      <c r="C101" t="s">
        <v>796</v>
      </c>
      <c r="D101" s="182">
        <v>3.15E-2</v>
      </c>
      <c r="E101" s="494">
        <v>6.3500000000000001E-2</v>
      </c>
      <c r="N101" s="15"/>
    </row>
    <row r="102" spans="1:14" x14ac:dyDescent="0.3">
      <c r="A102" s="492" t="s">
        <v>180</v>
      </c>
      <c r="B102" s="493" t="s">
        <v>317</v>
      </c>
      <c r="C102" t="s">
        <v>797</v>
      </c>
      <c r="D102" s="182">
        <v>2.4220000000000002</v>
      </c>
      <c r="E102" s="494">
        <v>1.1200000000000001</v>
      </c>
      <c r="J102" s="4"/>
      <c r="K102" s="4"/>
      <c r="M102" s="4"/>
      <c r="N102" s="477"/>
    </row>
    <row r="103" spans="1:14" x14ac:dyDescent="0.3">
      <c r="A103" s="492" t="s">
        <v>180</v>
      </c>
      <c r="B103" s="493" t="s">
        <v>318</v>
      </c>
      <c r="C103" t="s">
        <v>798</v>
      </c>
      <c r="D103" s="182">
        <v>0.6905</v>
      </c>
      <c r="E103" s="494">
        <v>0.62549999999999994</v>
      </c>
      <c r="N103" s="15"/>
    </row>
    <row r="104" spans="1:14" x14ac:dyDescent="0.3">
      <c r="A104" s="492" t="s">
        <v>180</v>
      </c>
      <c r="B104" s="493" t="s">
        <v>799</v>
      </c>
      <c r="C104" t="s">
        <v>732</v>
      </c>
      <c r="D104" s="182">
        <v>0</v>
      </c>
      <c r="E104" s="494">
        <v>0.77900000000000003</v>
      </c>
      <c r="J104" s="4"/>
      <c r="K104" s="4"/>
      <c r="M104" s="4"/>
      <c r="N104" s="477"/>
    </row>
    <row r="105" spans="1:14" x14ac:dyDescent="0.3">
      <c r="A105" s="492" t="s">
        <v>180</v>
      </c>
      <c r="B105" s="493" t="s">
        <v>319</v>
      </c>
      <c r="C105" t="s">
        <v>800</v>
      </c>
      <c r="D105" s="182">
        <v>8.2944999999999993</v>
      </c>
      <c r="E105" s="494">
        <v>7.5374999999999996</v>
      </c>
      <c r="N105" s="15"/>
    </row>
    <row r="106" spans="1:14" x14ac:dyDescent="0.3">
      <c r="A106" s="492" t="s">
        <v>180</v>
      </c>
      <c r="B106" s="493" t="s">
        <v>320</v>
      </c>
      <c r="C106" t="s">
        <v>801</v>
      </c>
      <c r="D106" s="182">
        <v>5.492</v>
      </c>
      <c r="E106" s="494">
        <v>5.9175000000000004</v>
      </c>
      <c r="N106" s="15"/>
    </row>
    <row r="107" spans="1:14" x14ac:dyDescent="0.3">
      <c r="A107" s="492" t="s">
        <v>180</v>
      </c>
      <c r="B107" s="493" t="s">
        <v>321</v>
      </c>
      <c r="C107" t="s">
        <v>802</v>
      </c>
      <c r="D107" s="182">
        <v>0.375</v>
      </c>
      <c r="E107" s="494">
        <v>6.0499999999999998E-2</v>
      </c>
      <c r="J107" s="4"/>
      <c r="K107" s="4"/>
      <c r="M107" s="4"/>
      <c r="N107" s="477"/>
    </row>
    <row r="108" spans="1:14" x14ac:dyDescent="0.3">
      <c r="A108" s="492" t="s">
        <v>180</v>
      </c>
      <c r="B108" s="493" t="s">
        <v>321</v>
      </c>
      <c r="C108" t="s">
        <v>803</v>
      </c>
      <c r="D108" s="182">
        <v>16.375</v>
      </c>
      <c r="E108" s="494">
        <v>32.893999999999998</v>
      </c>
      <c r="N108" s="15"/>
    </row>
    <row r="109" spans="1:14" x14ac:dyDescent="0.3">
      <c r="A109" s="492" t="s">
        <v>180</v>
      </c>
      <c r="B109" s="493" t="s">
        <v>322</v>
      </c>
      <c r="C109" t="s">
        <v>804</v>
      </c>
      <c r="D109" s="182">
        <v>2.1324999999999998</v>
      </c>
      <c r="E109" s="494">
        <v>1.62</v>
      </c>
      <c r="F109" s="4"/>
      <c r="G109" s="4"/>
      <c r="H109" s="4"/>
      <c r="J109" s="4"/>
      <c r="K109" s="477"/>
      <c r="L109" s="477"/>
      <c r="M109" s="477"/>
      <c r="N109" s="477"/>
    </row>
    <row r="110" spans="1:14" x14ac:dyDescent="0.3">
      <c r="A110" s="492" t="s">
        <v>180</v>
      </c>
      <c r="B110" s="493" t="s">
        <v>322</v>
      </c>
      <c r="C110" t="s">
        <v>805</v>
      </c>
      <c r="D110" s="182">
        <v>3.2475000000000001</v>
      </c>
      <c r="E110" s="494">
        <v>10.4175</v>
      </c>
      <c r="K110" s="15"/>
      <c r="L110" s="15"/>
      <c r="M110" s="15"/>
      <c r="N110" s="15"/>
    </row>
    <row r="111" spans="1:14" x14ac:dyDescent="0.3">
      <c r="A111" s="492" t="s">
        <v>180</v>
      </c>
      <c r="B111" s="493" t="s">
        <v>322</v>
      </c>
      <c r="C111" t="s">
        <v>806</v>
      </c>
      <c r="D111" s="182">
        <v>33.0625</v>
      </c>
      <c r="E111" s="494">
        <v>44.552</v>
      </c>
      <c r="F111" s="4"/>
      <c r="G111" s="4"/>
      <c r="H111" s="4"/>
      <c r="J111" s="4"/>
      <c r="K111" s="477"/>
      <c r="L111" s="477"/>
      <c r="M111" s="477"/>
      <c r="N111" s="477"/>
    </row>
    <row r="112" spans="1:14" x14ac:dyDescent="0.3">
      <c r="A112" s="492" t="s">
        <v>180</v>
      </c>
      <c r="B112" s="493" t="s">
        <v>323</v>
      </c>
      <c r="C112" t="s">
        <v>807</v>
      </c>
      <c r="D112" s="182">
        <v>2.4055</v>
      </c>
      <c r="E112" s="494">
        <v>0</v>
      </c>
      <c r="F112" s="4"/>
      <c r="G112" s="4"/>
      <c r="H112" s="4"/>
      <c r="J112" s="4"/>
      <c r="K112" s="477"/>
      <c r="L112" s="477"/>
      <c r="M112" s="477"/>
      <c r="N112" s="477"/>
    </row>
    <row r="113" spans="1:15" x14ac:dyDescent="0.3">
      <c r="A113" s="492" t="s">
        <v>180</v>
      </c>
      <c r="B113" s="493" t="s">
        <v>324</v>
      </c>
      <c r="C113" t="s">
        <v>808</v>
      </c>
      <c r="D113" s="182">
        <v>1.4E-2</v>
      </c>
      <c r="E113" s="494">
        <v>0</v>
      </c>
      <c r="F113" s="4"/>
      <c r="G113" s="4"/>
      <c r="H113" s="4"/>
      <c r="J113" s="4"/>
      <c r="K113" s="477"/>
      <c r="L113" s="477"/>
      <c r="M113" s="477"/>
      <c r="N113" s="477"/>
    </row>
    <row r="114" spans="1:15" x14ac:dyDescent="0.3">
      <c r="A114" s="492" t="s">
        <v>180</v>
      </c>
      <c r="B114" s="493" t="s">
        <v>325</v>
      </c>
      <c r="C114" t="s">
        <v>809</v>
      </c>
      <c r="D114" s="182">
        <v>4.4359999999999999</v>
      </c>
      <c r="E114" s="494">
        <v>6.18</v>
      </c>
      <c r="F114" s="4"/>
      <c r="G114" s="4"/>
      <c r="H114" s="4"/>
      <c r="J114" s="4"/>
      <c r="K114" s="477"/>
      <c r="L114" s="477"/>
      <c r="M114" s="477"/>
      <c r="N114" s="477"/>
    </row>
    <row r="115" spans="1:15" x14ac:dyDescent="0.3">
      <c r="A115" s="492" t="s">
        <v>180</v>
      </c>
      <c r="B115" s="493" t="s">
        <v>326</v>
      </c>
      <c r="C115" t="s">
        <v>810</v>
      </c>
      <c r="D115" s="182">
        <v>0.39300000000000002</v>
      </c>
      <c r="E115" s="494">
        <v>0.22950000000000001</v>
      </c>
      <c r="F115" s="4"/>
      <c r="G115" s="4"/>
      <c r="H115" s="4"/>
      <c r="J115" s="4"/>
      <c r="K115" s="477"/>
      <c r="L115" s="477"/>
      <c r="M115" s="477"/>
      <c r="N115" s="477"/>
    </row>
    <row r="116" spans="1:15" x14ac:dyDescent="0.3">
      <c r="A116" s="492" t="s">
        <v>180</v>
      </c>
      <c r="B116" s="493" t="s">
        <v>327</v>
      </c>
      <c r="C116" t="s">
        <v>811</v>
      </c>
      <c r="D116" s="182">
        <v>0.215</v>
      </c>
      <c r="E116" s="494">
        <v>0.22</v>
      </c>
      <c r="F116" s="4"/>
      <c r="G116" s="4"/>
      <c r="H116" s="4"/>
      <c r="J116" s="4"/>
      <c r="K116" s="477"/>
      <c r="L116" s="477"/>
      <c r="M116" s="477"/>
      <c r="N116" s="477"/>
    </row>
    <row r="117" spans="1:15" x14ac:dyDescent="0.3">
      <c r="A117" s="492" t="s">
        <v>180</v>
      </c>
      <c r="B117" s="493" t="s">
        <v>328</v>
      </c>
      <c r="C117" t="s">
        <v>812</v>
      </c>
      <c r="D117" s="182">
        <v>7.2</v>
      </c>
      <c r="E117" s="494">
        <v>10.824</v>
      </c>
      <c r="F117" s="4"/>
      <c r="G117" s="4"/>
      <c r="H117" s="4"/>
      <c r="J117" s="4"/>
      <c r="K117" s="477"/>
      <c r="L117" s="477"/>
      <c r="M117" s="477"/>
      <c r="N117" s="477"/>
    </row>
    <row r="118" spans="1:15" x14ac:dyDescent="0.3">
      <c r="A118" s="492" t="s">
        <v>180</v>
      </c>
      <c r="B118" s="493" t="s">
        <v>328</v>
      </c>
      <c r="C118" t="s">
        <v>813</v>
      </c>
      <c r="D118" s="182">
        <v>0.223</v>
      </c>
      <c r="E118" s="494">
        <v>0.21149999999999999</v>
      </c>
      <c r="F118" s="4"/>
      <c r="G118" s="4"/>
      <c r="H118" s="4"/>
      <c r="J118" s="4"/>
      <c r="K118" s="477"/>
      <c r="L118" s="477"/>
      <c r="M118" s="477"/>
      <c r="N118" s="477"/>
    </row>
    <row r="119" spans="1:15" x14ac:dyDescent="0.3">
      <c r="A119" s="492" t="s">
        <v>180</v>
      </c>
      <c r="B119" s="493" t="s">
        <v>329</v>
      </c>
      <c r="C119" t="s">
        <v>814</v>
      </c>
      <c r="D119" s="182">
        <v>0.23250000000000001</v>
      </c>
      <c r="E119" s="494">
        <v>4.4999999999999997E-3</v>
      </c>
      <c r="F119" s="4"/>
      <c r="G119" s="4"/>
      <c r="H119" s="4"/>
      <c r="J119" s="4"/>
      <c r="K119" s="477"/>
      <c r="L119" s="477"/>
      <c r="M119" s="477"/>
      <c r="N119" s="477"/>
    </row>
    <row r="120" spans="1:15" x14ac:dyDescent="0.3">
      <c r="A120" s="492" t="s">
        <v>180</v>
      </c>
      <c r="B120" s="493" t="s">
        <v>329</v>
      </c>
      <c r="C120" t="s">
        <v>815</v>
      </c>
      <c r="D120" s="182">
        <v>1.6964999999999999</v>
      </c>
      <c r="E120" s="494">
        <v>0.3795</v>
      </c>
      <c r="F120" s="4"/>
      <c r="G120" s="4"/>
      <c r="H120" s="4"/>
      <c r="J120" s="4"/>
      <c r="K120" s="477"/>
      <c r="L120" s="477"/>
      <c r="M120" s="477"/>
      <c r="N120" s="477"/>
      <c r="O120" s="413"/>
    </row>
    <row r="121" spans="1:15" x14ac:dyDescent="0.3">
      <c r="A121" s="492" t="s">
        <v>180</v>
      </c>
      <c r="B121" s="493" t="s">
        <v>329</v>
      </c>
      <c r="C121" t="s">
        <v>816</v>
      </c>
      <c r="D121" s="182">
        <v>0</v>
      </c>
      <c r="E121" s="494">
        <v>3.5000000000000001E-3</v>
      </c>
      <c r="K121" s="15"/>
      <c r="L121" s="15"/>
      <c r="M121" s="15"/>
      <c r="N121" s="15"/>
      <c r="O121" s="413"/>
    </row>
    <row r="122" spans="1:15" x14ac:dyDescent="0.3">
      <c r="A122" s="492" t="s">
        <v>180</v>
      </c>
      <c r="B122" s="493" t="s">
        <v>329</v>
      </c>
      <c r="C122" t="s">
        <v>817</v>
      </c>
      <c r="D122" s="182">
        <v>0.46250000000000002</v>
      </c>
      <c r="E122" s="494">
        <v>0.84599999999999997</v>
      </c>
      <c r="F122" s="4"/>
      <c r="G122" s="4"/>
      <c r="H122" s="4"/>
      <c r="J122" s="4"/>
      <c r="K122" s="477"/>
      <c r="L122" s="477"/>
      <c r="M122" s="477"/>
      <c r="N122" s="477"/>
    </row>
    <row r="123" spans="1:15" x14ac:dyDescent="0.3">
      <c r="A123" s="492" t="s">
        <v>180</v>
      </c>
      <c r="B123" s="493" t="s">
        <v>329</v>
      </c>
      <c r="C123" t="s">
        <v>818</v>
      </c>
      <c r="D123" s="182">
        <v>2.5499999999999998E-2</v>
      </c>
      <c r="E123" s="494">
        <v>8.0000000000000002E-3</v>
      </c>
      <c r="K123" s="15"/>
      <c r="L123" s="15"/>
      <c r="M123" s="15"/>
      <c r="N123" s="15"/>
    </row>
    <row r="124" spans="1:15" x14ac:dyDescent="0.3">
      <c r="A124" s="492" t="s">
        <v>180</v>
      </c>
      <c r="B124" s="493" t="s">
        <v>330</v>
      </c>
      <c r="C124" t="s">
        <v>819</v>
      </c>
      <c r="D124" s="182">
        <v>0.27800000000000002</v>
      </c>
      <c r="E124" s="494">
        <v>0.33750000000000002</v>
      </c>
      <c r="F124" s="4"/>
      <c r="G124" s="4"/>
      <c r="H124" s="4"/>
      <c r="J124" s="4"/>
      <c r="K124" s="477"/>
      <c r="L124" s="477"/>
      <c r="M124" s="477"/>
      <c r="N124" s="477"/>
    </row>
    <row r="125" spans="1:15" x14ac:dyDescent="0.3">
      <c r="A125" s="492" t="s">
        <v>180</v>
      </c>
      <c r="B125" s="493" t="s">
        <v>331</v>
      </c>
      <c r="C125" t="s">
        <v>820</v>
      </c>
      <c r="D125" s="182">
        <v>2.5000000000000001E-3</v>
      </c>
      <c r="E125" s="494">
        <v>0</v>
      </c>
      <c r="K125" s="15"/>
      <c r="L125" s="15"/>
      <c r="M125" s="15"/>
      <c r="N125" s="15"/>
    </row>
    <row r="126" spans="1:15" x14ac:dyDescent="0.3">
      <c r="A126" s="492" t="s">
        <v>180</v>
      </c>
      <c r="B126" s="493" t="s">
        <v>331</v>
      </c>
      <c r="C126" t="s">
        <v>821</v>
      </c>
      <c r="D126" s="182">
        <v>2E-3</v>
      </c>
      <c r="E126" s="494">
        <v>0</v>
      </c>
      <c r="F126" s="4"/>
      <c r="G126" s="4"/>
      <c r="H126" s="4"/>
      <c r="J126" s="4"/>
      <c r="K126" s="477"/>
      <c r="L126" s="477"/>
      <c r="M126" s="477"/>
      <c r="N126" s="477"/>
    </row>
    <row r="127" spans="1:15" x14ac:dyDescent="0.3">
      <c r="A127" s="492" t="s">
        <v>180</v>
      </c>
      <c r="B127" s="493" t="s">
        <v>332</v>
      </c>
      <c r="C127" t="s">
        <v>822</v>
      </c>
      <c r="D127" s="182">
        <v>0.28000000000000003</v>
      </c>
      <c r="E127" s="494">
        <v>0.83250000000000002</v>
      </c>
      <c r="J127" s="413"/>
      <c r="K127" s="497"/>
      <c r="L127" s="497"/>
      <c r="M127" s="497"/>
      <c r="N127" s="497"/>
      <c r="O127" s="413"/>
    </row>
    <row r="128" spans="1:15" x14ac:dyDescent="0.3">
      <c r="A128" s="492" t="s">
        <v>180</v>
      </c>
      <c r="B128" s="493" t="s">
        <v>333</v>
      </c>
      <c r="C128" t="s">
        <v>823</v>
      </c>
      <c r="D128" s="182">
        <v>2.8405</v>
      </c>
      <c r="E128" s="494">
        <v>2.7050000000000001</v>
      </c>
      <c r="J128" s="413"/>
      <c r="K128" s="497"/>
      <c r="L128" s="497"/>
      <c r="M128" s="497"/>
      <c r="N128" s="497"/>
      <c r="O128" s="413"/>
    </row>
    <row r="129" spans="1:15" x14ac:dyDescent="0.3">
      <c r="A129" s="492" t="s">
        <v>180</v>
      </c>
      <c r="B129" s="493" t="s">
        <v>334</v>
      </c>
      <c r="C129" t="s">
        <v>824</v>
      </c>
      <c r="D129" s="182">
        <v>2.6499999999999999E-2</v>
      </c>
      <c r="E129" s="494">
        <v>0.04</v>
      </c>
      <c r="F129" s="4"/>
      <c r="G129" s="4"/>
      <c r="H129" s="4"/>
      <c r="J129" s="4"/>
      <c r="K129" s="477"/>
      <c r="L129" s="477"/>
      <c r="M129" s="477"/>
      <c r="N129" s="477"/>
    </row>
    <row r="130" spans="1:15" x14ac:dyDescent="0.3">
      <c r="A130" s="492" t="s">
        <v>180</v>
      </c>
      <c r="B130" s="493" t="s">
        <v>335</v>
      </c>
      <c r="C130" t="s">
        <v>825</v>
      </c>
      <c r="D130" s="182">
        <v>0.1065</v>
      </c>
      <c r="E130" s="494">
        <v>0.14749999999999999</v>
      </c>
      <c r="F130" s="4"/>
      <c r="G130" s="4"/>
      <c r="H130" s="4"/>
      <c r="J130" s="4"/>
      <c r="K130" s="477"/>
      <c r="L130" s="477"/>
      <c r="M130" s="477"/>
      <c r="N130" s="477"/>
    </row>
    <row r="131" spans="1:15" x14ac:dyDescent="0.3">
      <c r="A131" s="492" t="s">
        <v>180</v>
      </c>
      <c r="B131" s="493" t="s">
        <v>336</v>
      </c>
      <c r="C131" t="s">
        <v>826</v>
      </c>
      <c r="D131" s="182">
        <v>0.48649999999999999</v>
      </c>
      <c r="E131" s="494">
        <v>0.74</v>
      </c>
      <c r="K131" s="15"/>
      <c r="L131" s="15"/>
      <c r="M131" s="15"/>
      <c r="N131" s="15"/>
    </row>
    <row r="132" spans="1:15" x14ac:dyDescent="0.3">
      <c r="A132" s="492" t="s">
        <v>180</v>
      </c>
      <c r="B132" s="493" t="s">
        <v>337</v>
      </c>
      <c r="C132" t="s">
        <v>827</v>
      </c>
      <c r="D132" s="182">
        <v>0.48049999999999998</v>
      </c>
      <c r="E132" s="494">
        <v>0.3095</v>
      </c>
      <c r="F132" s="4"/>
      <c r="G132" s="4"/>
      <c r="H132" s="4"/>
      <c r="J132" s="4"/>
      <c r="K132" s="477"/>
      <c r="L132" s="477"/>
      <c r="M132" s="477"/>
      <c r="N132" s="477"/>
    </row>
    <row r="133" spans="1:15" x14ac:dyDescent="0.3">
      <c r="A133" s="492" t="s">
        <v>180</v>
      </c>
      <c r="B133" s="493" t="s">
        <v>338</v>
      </c>
      <c r="C133" t="s">
        <v>828</v>
      </c>
      <c r="D133" s="182">
        <v>0.29699999999999999</v>
      </c>
      <c r="E133" s="494">
        <v>0</v>
      </c>
      <c r="K133" s="15"/>
      <c r="L133" s="15"/>
      <c r="M133" s="15"/>
      <c r="N133" s="15"/>
    </row>
    <row r="134" spans="1:15" x14ac:dyDescent="0.3">
      <c r="A134" s="492" t="s">
        <v>180</v>
      </c>
      <c r="B134" s="493" t="s">
        <v>339</v>
      </c>
      <c r="C134" t="s">
        <v>829</v>
      </c>
      <c r="D134" s="182">
        <v>1.6919999999999999</v>
      </c>
      <c r="E134" s="494">
        <v>3.0234999999999999</v>
      </c>
      <c r="F134" s="4"/>
      <c r="G134" s="4"/>
      <c r="H134" s="4"/>
      <c r="J134" s="4"/>
      <c r="K134" s="477"/>
      <c r="L134" s="477"/>
      <c r="M134" s="477"/>
      <c r="N134" s="15"/>
    </row>
    <row r="135" spans="1:15" x14ac:dyDescent="0.3">
      <c r="A135" s="492" t="s">
        <v>180</v>
      </c>
      <c r="B135" s="493" t="s">
        <v>340</v>
      </c>
      <c r="C135" t="s">
        <v>723</v>
      </c>
      <c r="D135" s="182">
        <v>0.36249999999999999</v>
      </c>
      <c r="E135" s="494">
        <v>0.47499999999999998</v>
      </c>
      <c r="K135" s="15"/>
      <c r="L135" s="15"/>
      <c r="M135" s="15"/>
      <c r="N135" s="15"/>
    </row>
    <row r="136" spans="1:15" x14ac:dyDescent="0.3">
      <c r="A136" s="492" t="s">
        <v>180</v>
      </c>
      <c r="B136" s="493" t="s">
        <v>340</v>
      </c>
      <c r="C136" t="s">
        <v>830</v>
      </c>
      <c r="D136" s="182">
        <v>0.245</v>
      </c>
      <c r="E136" s="494">
        <v>0.67249999999999999</v>
      </c>
      <c r="F136" s="4"/>
      <c r="G136" s="4"/>
      <c r="H136" s="4"/>
      <c r="J136" s="4"/>
      <c r="K136" s="477"/>
      <c r="L136" s="477"/>
      <c r="M136" s="477"/>
      <c r="N136" s="477"/>
    </row>
    <row r="137" spans="1:15" x14ac:dyDescent="0.3">
      <c r="A137" s="492" t="s">
        <v>180</v>
      </c>
      <c r="B137" s="493" t="s">
        <v>340</v>
      </c>
      <c r="C137" t="s">
        <v>831</v>
      </c>
      <c r="D137" s="182">
        <v>19.5655</v>
      </c>
      <c r="E137" s="494">
        <v>39.669499999999999</v>
      </c>
      <c r="K137" s="15"/>
      <c r="L137" s="15"/>
      <c r="M137" s="15"/>
      <c r="N137" s="15"/>
    </row>
    <row r="138" spans="1:15" x14ac:dyDescent="0.3">
      <c r="A138" s="492" t="s">
        <v>180</v>
      </c>
      <c r="B138" s="493" t="s">
        <v>341</v>
      </c>
      <c r="C138" t="s">
        <v>832</v>
      </c>
      <c r="D138" s="182">
        <v>0.8</v>
      </c>
      <c r="E138" s="494">
        <v>5.7590000000000003</v>
      </c>
      <c r="F138" s="4"/>
      <c r="G138" s="4"/>
      <c r="H138" s="4"/>
      <c r="J138" s="4"/>
      <c r="K138" s="477"/>
      <c r="L138" s="477"/>
      <c r="M138" s="477"/>
      <c r="N138" s="477"/>
    </row>
    <row r="139" spans="1:15" x14ac:dyDescent="0.3">
      <c r="A139" s="492" t="s">
        <v>180</v>
      </c>
      <c r="B139" s="493" t="s">
        <v>342</v>
      </c>
      <c r="C139" t="s">
        <v>833</v>
      </c>
      <c r="D139" s="182">
        <v>2.1</v>
      </c>
      <c r="E139" s="494">
        <v>0.6</v>
      </c>
      <c r="K139" s="15"/>
      <c r="L139" s="15"/>
      <c r="M139" s="15"/>
      <c r="N139" s="15"/>
    </row>
    <row r="140" spans="1:15" x14ac:dyDescent="0.3">
      <c r="A140" s="492" t="s">
        <v>180</v>
      </c>
      <c r="B140" s="493" t="s">
        <v>343</v>
      </c>
      <c r="C140" t="s">
        <v>834</v>
      </c>
      <c r="D140" s="182">
        <v>0.17</v>
      </c>
      <c r="E140" s="494">
        <v>0.18</v>
      </c>
      <c r="K140" s="15"/>
      <c r="L140" s="15"/>
      <c r="M140" s="15"/>
      <c r="N140" s="15"/>
    </row>
    <row r="141" spans="1:15" x14ac:dyDescent="0.3">
      <c r="A141" s="492" t="s">
        <v>180</v>
      </c>
      <c r="B141" s="493" t="s">
        <v>344</v>
      </c>
      <c r="C141" t="s">
        <v>835</v>
      </c>
      <c r="D141" s="182">
        <v>26.7165</v>
      </c>
      <c r="E141" s="494">
        <v>24.859000000000002</v>
      </c>
      <c r="K141" s="15"/>
      <c r="L141" s="15"/>
      <c r="M141" s="15"/>
      <c r="N141" s="477"/>
      <c r="O141" s="498"/>
    </row>
    <row r="142" spans="1:15" x14ac:dyDescent="0.3">
      <c r="A142" s="492" t="s">
        <v>180</v>
      </c>
      <c r="B142" s="493" t="s">
        <v>345</v>
      </c>
      <c r="C142" t="s">
        <v>836</v>
      </c>
      <c r="D142" s="182">
        <v>5.1999999999999998E-2</v>
      </c>
      <c r="E142" s="494">
        <v>3.7499999999999999E-2</v>
      </c>
      <c r="K142" s="15"/>
      <c r="L142" s="15"/>
      <c r="M142" s="15"/>
      <c r="N142" s="477"/>
      <c r="O142" s="498"/>
    </row>
    <row r="143" spans="1:15" x14ac:dyDescent="0.3">
      <c r="A143" s="492" t="s">
        <v>180</v>
      </c>
      <c r="B143" s="493" t="s">
        <v>346</v>
      </c>
      <c r="C143" t="s">
        <v>837</v>
      </c>
      <c r="D143" s="182">
        <v>8.1630000000000003</v>
      </c>
      <c r="E143" s="494">
        <v>8.8179999999999996</v>
      </c>
      <c r="K143" s="15"/>
      <c r="L143" s="15"/>
      <c r="M143" s="15"/>
      <c r="N143" s="477"/>
      <c r="O143" s="498"/>
    </row>
    <row r="144" spans="1:15" x14ac:dyDescent="0.3">
      <c r="A144" s="492" t="s">
        <v>180</v>
      </c>
      <c r="B144" s="493" t="s">
        <v>347</v>
      </c>
      <c r="C144" t="s">
        <v>838</v>
      </c>
      <c r="D144" s="182">
        <v>1.7500000000000002E-2</v>
      </c>
      <c r="E144" s="494">
        <v>0.01</v>
      </c>
      <c r="K144" s="15"/>
      <c r="L144" s="15"/>
      <c r="M144" s="15"/>
      <c r="N144" s="15"/>
    </row>
    <row r="145" spans="1:14" x14ac:dyDescent="0.3">
      <c r="A145" s="492" t="s">
        <v>180</v>
      </c>
      <c r="B145" s="493" t="s">
        <v>348</v>
      </c>
      <c r="C145" t="s">
        <v>839</v>
      </c>
      <c r="D145" s="182">
        <v>1.6285000000000001</v>
      </c>
      <c r="E145" s="494">
        <v>4.9375</v>
      </c>
      <c r="K145" s="15"/>
      <c r="L145" s="15"/>
      <c r="M145" s="15"/>
      <c r="N145" s="15"/>
    </row>
    <row r="146" spans="1:14" x14ac:dyDescent="0.3">
      <c r="A146" s="492" t="s">
        <v>180</v>
      </c>
      <c r="B146" s="493" t="s">
        <v>348</v>
      </c>
      <c r="C146" t="s">
        <v>840</v>
      </c>
      <c r="D146" s="182">
        <v>0.751</v>
      </c>
      <c r="E146" s="494">
        <v>1.6355</v>
      </c>
      <c r="K146" s="15"/>
      <c r="L146" s="15"/>
      <c r="M146" s="15"/>
      <c r="N146" s="15"/>
    </row>
    <row r="147" spans="1:14" x14ac:dyDescent="0.3">
      <c r="A147" s="492" t="s">
        <v>180</v>
      </c>
      <c r="B147" s="493" t="s">
        <v>349</v>
      </c>
      <c r="C147" t="s">
        <v>841</v>
      </c>
      <c r="D147" s="182">
        <v>0.95</v>
      </c>
      <c r="E147" s="494">
        <v>1.65</v>
      </c>
      <c r="F147" s="4"/>
      <c r="G147" s="4"/>
      <c r="H147" s="4"/>
      <c r="J147" s="4"/>
      <c r="K147" s="477"/>
      <c r="L147" s="477"/>
      <c r="M147" s="477"/>
      <c r="N147" s="477"/>
    </row>
    <row r="148" spans="1:14" x14ac:dyDescent="0.3">
      <c r="A148" s="492" t="s">
        <v>180</v>
      </c>
      <c r="B148" s="493" t="s">
        <v>350</v>
      </c>
      <c r="C148" t="s">
        <v>842</v>
      </c>
      <c r="D148" s="182">
        <v>0.155</v>
      </c>
      <c r="E148" s="494">
        <v>0.01</v>
      </c>
      <c r="K148" s="15"/>
      <c r="L148" s="15"/>
      <c r="M148" s="15"/>
      <c r="N148" s="15"/>
    </row>
    <row r="149" spans="1:14" x14ac:dyDescent="0.3">
      <c r="A149" s="492" t="s">
        <v>180</v>
      </c>
      <c r="B149" s="493" t="s">
        <v>351</v>
      </c>
      <c r="C149" t="s">
        <v>843</v>
      </c>
      <c r="D149" s="182">
        <v>2.1000000000000001E-2</v>
      </c>
      <c r="E149" s="494">
        <v>4.4999999999999997E-3</v>
      </c>
      <c r="F149" s="4"/>
      <c r="G149" s="4"/>
      <c r="H149" s="4"/>
      <c r="J149" s="4"/>
      <c r="K149" s="477"/>
      <c r="L149" s="477"/>
      <c r="M149" s="477"/>
      <c r="N149" s="477"/>
    </row>
    <row r="150" spans="1:14" x14ac:dyDescent="0.3">
      <c r="A150" s="492" t="s">
        <v>180</v>
      </c>
      <c r="B150" s="493" t="s">
        <v>352</v>
      </c>
      <c r="C150" t="s">
        <v>844</v>
      </c>
      <c r="D150" s="182">
        <v>2.2444999999999999</v>
      </c>
      <c r="E150" s="494">
        <v>1.8520000000000001</v>
      </c>
      <c r="F150" s="4"/>
      <c r="G150" s="4"/>
      <c r="H150" s="4"/>
      <c r="J150" s="4"/>
      <c r="K150" s="477"/>
      <c r="L150" s="477"/>
      <c r="M150" s="477"/>
      <c r="N150" s="477"/>
    </row>
    <row r="151" spans="1:14" x14ac:dyDescent="0.3">
      <c r="A151" s="492" t="s">
        <v>180</v>
      </c>
      <c r="B151" s="493" t="s">
        <v>353</v>
      </c>
      <c r="C151" t="s">
        <v>845</v>
      </c>
      <c r="D151" s="182">
        <v>0.111</v>
      </c>
      <c r="E151" s="494">
        <v>0.4405</v>
      </c>
      <c r="F151" s="439"/>
      <c r="G151" s="439"/>
      <c r="H151" s="4"/>
      <c r="J151" s="4"/>
      <c r="K151" s="477"/>
      <c r="L151" s="477"/>
      <c r="M151" s="477"/>
      <c r="N151" s="477"/>
    </row>
    <row r="152" spans="1:14" x14ac:dyDescent="0.3">
      <c r="A152" s="492" t="s">
        <v>180</v>
      </c>
      <c r="B152" s="493" t="s">
        <v>354</v>
      </c>
      <c r="C152" t="s">
        <v>846</v>
      </c>
      <c r="D152" s="182">
        <v>0</v>
      </c>
      <c r="E152" s="494">
        <v>0.48599999999999999</v>
      </c>
      <c r="K152" s="15"/>
      <c r="L152" s="15"/>
      <c r="M152" s="15"/>
      <c r="N152" s="15"/>
    </row>
    <row r="153" spans="1:14" x14ac:dyDescent="0.3">
      <c r="A153" s="492" t="s">
        <v>180</v>
      </c>
      <c r="B153" s="493" t="s">
        <v>355</v>
      </c>
      <c r="C153" t="s">
        <v>847</v>
      </c>
      <c r="D153" s="182">
        <v>2.4845000000000002</v>
      </c>
      <c r="E153" s="494">
        <v>7.4744999999999999</v>
      </c>
      <c r="K153" s="15"/>
      <c r="L153" s="15"/>
      <c r="M153" s="15"/>
      <c r="N153" s="477"/>
    </row>
    <row r="154" spans="1:14" x14ac:dyDescent="0.3">
      <c r="A154" s="492" t="s">
        <v>180</v>
      </c>
      <c r="B154" s="493" t="s">
        <v>355</v>
      </c>
      <c r="C154" t="s">
        <v>848</v>
      </c>
      <c r="D154" s="182">
        <v>0</v>
      </c>
      <c r="E154" s="494">
        <v>5.1875</v>
      </c>
      <c r="F154" s="4"/>
      <c r="G154" s="4"/>
      <c r="H154" s="4"/>
      <c r="J154" s="4"/>
      <c r="K154" s="477"/>
      <c r="L154" s="477"/>
      <c r="M154" s="477"/>
      <c r="N154" s="15"/>
    </row>
    <row r="155" spans="1:14" x14ac:dyDescent="0.3">
      <c r="A155" s="492" t="s">
        <v>180</v>
      </c>
      <c r="B155" s="493" t="s">
        <v>355</v>
      </c>
      <c r="C155" t="s">
        <v>849</v>
      </c>
      <c r="D155" s="182">
        <v>6.5789999999999997</v>
      </c>
      <c r="E155" s="494">
        <v>6.6870000000000003</v>
      </c>
      <c r="K155" s="15"/>
      <c r="L155" s="15"/>
      <c r="M155" s="15"/>
      <c r="N155" s="477"/>
    </row>
    <row r="156" spans="1:14" x14ac:dyDescent="0.3">
      <c r="A156" s="492" t="s">
        <v>180</v>
      </c>
      <c r="B156" s="493" t="s">
        <v>355</v>
      </c>
      <c r="C156" t="s">
        <v>850</v>
      </c>
      <c r="D156" s="182">
        <v>24.851500000000001</v>
      </c>
      <c r="E156" s="494">
        <v>43.354999999999997</v>
      </c>
      <c r="F156" s="4"/>
      <c r="G156" s="4"/>
      <c r="H156" s="4"/>
      <c r="J156" s="4"/>
      <c r="K156" s="477"/>
      <c r="L156" s="477"/>
      <c r="M156" s="477"/>
      <c r="N156" s="15"/>
    </row>
    <row r="157" spans="1:14" x14ac:dyDescent="0.3">
      <c r="A157" s="492" t="s">
        <v>180</v>
      </c>
      <c r="B157" s="493" t="s">
        <v>355</v>
      </c>
      <c r="C157" t="s">
        <v>851</v>
      </c>
      <c r="D157" s="182">
        <v>20.16</v>
      </c>
      <c r="E157" s="494">
        <v>17.545500000000001</v>
      </c>
      <c r="K157" s="15"/>
      <c r="L157" s="15"/>
      <c r="M157" s="15"/>
      <c r="N157" s="477"/>
    </row>
    <row r="158" spans="1:14" x14ac:dyDescent="0.3">
      <c r="A158" s="492" t="s">
        <v>180</v>
      </c>
      <c r="B158" s="493" t="s">
        <v>355</v>
      </c>
      <c r="C158" t="s">
        <v>852</v>
      </c>
      <c r="D158" s="182">
        <v>0.49249999999999999</v>
      </c>
      <c r="E158" s="494">
        <v>1.62</v>
      </c>
      <c r="F158" s="4"/>
      <c r="G158" s="4"/>
      <c r="H158" s="4"/>
      <c r="J158" s="4"/>
      <c r="K158" s="477"/>
      <c r="L158" s="477"/>
      <c r="M158" s="477"/>
      <c r="N158" s="15"/>
    </row>
    <row r="159" spans="1:14" x14ac:dyDescent="0.3">
      <c r="A159" s="492" t="s">
        <v>180</v>
      </c>
      <c r="B159" s="493" t="s">
        <v>356</v>
      </c>
      <c r="C159" t="s">
        <v>828</v>
      </c>
      <c r="D159" s="182">
        <v>2.2499999999999999E-2</v>
      </c>
      <c r="E159" s="494">
        <v>0</v>
      </c>
      <c r="K159" s="15"/>
      <c r="L159" s="15"/>
      <c r="M159" s="15"/>
      <c r="N159" s="15"/>
    </row>
    <row r="160" spans="1:14" x14ac:dyDescent="0.3">
      <c r="A160" s="492" t="s">
        <v>180</v>
      </c>
      <c r="B160" s="493" t="s">
        <v>357</v>
      </c>
      <c r="C160" t="s">
        <v>853</v>
      </c>
      <c r="D160" s="182">
        <v>5.4999999999999997E-3</v>
      </c>
      <c r="E160" s="494">
        <v>0</v>
      </c>
      <c r="F160" s="4"/>
      <c r="G160" s="4"/>
      <c r="H160" s="4"/>
      <c r="J160" s="4"/>
      <c r="K160" s="477"/>
      <c r="L160" s="477"/>
      <c r="M160" s="477"/>
      <c r="N160" s="15"/>
    </row>
    <row r="161" spans="1:14" x14ac:dyDescent="0.3">
      <c r="A161" s="492" t="s">
        <v>180</v>
      </c>
      <c r="B161" s="493" t="s">
        <v>357</v>
      </c>
      <c r="C161" t="s">
        <v>828</v>
      </c>
      <c r="D161" s="182">
        <v>0.64049999999999996</v>
      </c>
      <c r="E161" s="494">
        <v>2.234</v>
      </c>
      <c r="K161" s="15"/>
      <c r="L161" s="15"/>
      <c r="M161" s="15"/>
      <c r="N161" s="477"/>
    </row>
    <row r="162" spans="1:14" x14ac:dyDescent="0.3">
      <c r="A162" s="492" t="s">
        <v>180</v>
      </c>
      <c r="B162" s="493" t="s">
        <v>357</v>
      </c>
      <c r="C162" t="s">
        <v>785</v>
      </c>
      <c r="D162" s="182">
        <v>0</v>
      </c>
      <c r="E162" s="494">
        <v>2.4744999999999999</v>
      </c>
      <c r="K162" s="15"/>
      <c r="L162" s="15"/>
      <c r="M162" s="15"/>
      <c r="N162" s="477"/>
    </row>
    <row r="163" spans="1:14" x14ac:dyDescent="0.3">
      <c r="A163" s="492" t="s">
        <v>180</v>
      </c>
      <c r="B163" s="493" t="s">
        <v>357</v>
      </c>
      <c r="C163" t="s">
        <v>854</v>
      </c>
      <c r="D163" s="182">
        <v>9.6214999999999993</v>
      </c>
      <c r="E163" s="494">
        <v>8.843</v>
      </c>
      <c r="F163" s="4"/>
      <c r="G163" s="4"/>
      <c r="H163" s="4"/>
      <c r="J163" s="4"/>
      <c r="K163" s="477"/>
      <c r="L163" s="477"/>
      <c r="M163" s="477"/>
      <c r="N163" s="15"/>
    </row>
    <row r="164" spans="1:14" x14ac:dyDescent="0.3">
      <c r="A164" s="492" t="s">
        <v>180</v>
      </c>
      <c r="B164" s="493" t="s">
        <v>357</v>
      </c>
      <c r="C164" t="s">
        <v>855</v>
      </c>
      <c r="D164" s="182">
        <v>0</v>
      </c>
      <c r="E164" s="494">
        <v>0.21049999999999999</v>
      </c>
      <c r="K164" s="15"/>
      <c r="L164" s="15"/>
      <c r="M164" s="15"/>
      <c r="N164" s="477"/>
    </row>
    <row r="165" spans="1:14" x14ac:dyDescent="0.3">
      <c r="A165" s="492" t="s">
        <v>180</v>
      </c>
      <c r="B165" s="493" t="s">
        <v>357</v>
      </c>
      <c r="C165" t="s">
        <v>856</v>
      </c>
      <c r="D165" s="182">
        <v>0.34549999999999997</v>
      </c>
      <c r="E165" s="494">
        <v>0.32500000000000001</v>
      </c>
      <c r="K165" s="15"/>
      <c r="L165" s="15"/>
      <c r="M165" s="15"/>
      <c r="N165" s="15"/>
    </row>
    <row r="166" spans="1:14" x14ac:dyDescent="0.3">
      <c r="A166" s="492" t="s">
        <v>180</v>
      </c>
      <c r="B166" s="493" t="s">
        <v>357</v>
      </c>
      <c r="C166" t="s">
        <v>857</v>
      </c>
      <c r="D166" s="182">
        <v>5.0564999999999998</v>
      </c>
      <c r="E166" s="494">
        <v>4.0525000000000002</v>
      </c>
      <c r="K166" s="15"/>
      <c r="L166" s="15"/>
      <c r="M166" s="15"/>
      <c r="N166" s="477"/>
    </row>
    <row r="167" spans="1:14" x14ac:dyDescent="0.3">
      <c r="A167" s="492" t="s">
        <v>180</v>
      </c>
      <c r="B167" s="493" t="s">
        <v>357</v>
      </c>
      <c r="C167" t="s">
        <v>858</v>
      </c>
      <c r="D167" s="182">
        <v>2.1934999999999998</v>
      </c>
      <c r="E167" s="494">
        <v>5.81</v>
      </c>
      <c r="K167" s="15"/>
      <c r="L167" s="15"/>
      <c r="M167" s="15"/>
      <c r="N167" s="15"/>
    </row>
    <row r="168" spans="1:14" x14ac:dyDescent="0.3">
      <c r="A168" s="492" t="s">
        <v>180</v>
      </c>
      <c r="B168" s="493" t="s">
        <v>357</v>
      </c>
      <c r="C168" t="s">
        <v>859</v>
      </c>
      <c r="D168" s="182">
        <v>0</v>
      </c>
      <c r="E168" s="494">
        <v>0.185</v>
      </c>
      <c r="K168" s="15"/>
      <c r="L168" s="15"/>
      <c r="M168" s="15"/>
      <c r="N168" s="477"/>
    </row>
    <row r="169" spans="1:14" x14ac:dyDescent="0.3">
      <c r="A169" s="492" t="s">
        <v>180</v>
      </c>
      <c r="B169" s="493" t="s">
        <v>357</v>
      </c>
      <c r="C169" t="s">
        <v>860</v>
      </c>
      <c r="D169" s="182">
        <v>9.4999999999999998E-3</v>
      </c>
      <c r="E169" s="494">
        <v>1.8499999999999999E-2</v>
      </c>
      <c r="F169" s="4"/>
      <c r="G169" s="4"/>
      <c r="H169" s="4"/>
      <c r="J169" s="4"/>
      <c r="K169" s="477"/>
      <c r="L169" s="477"/>
      <c r="M169" s="477"/>
      <c r="N169" s="15"/>
    </row>
    <row r="170" spans="1:14" x14ac:dyDescent="0.3">
      <c r="A170" s="492" t="s">
        <v>180</v>
      </c>
      <c r="B170" s="493" t="s">
        <v>357</v>
      </c>
      <c r="C170" t="s">
        <v>861</v>
      </c>
      <c r="D170" s="182">
        <v>2.3E-2</v>
      </c>
      <c r="E170" s="494">
        <v>6.6500000000000004E-2</v>
      </c>
      <c r="K170" s="15"/>
      <c r="L170" s="15"/>
      <c r="M170" s="15"/>
      <c r="N170" s="477"/>
    </row>
    <row r="171" spans="1:14" x14ac:dyDescent="0.3">
      <c r="A171" s="492" t="s">
        <v>180</v>
      </c>
      <c r="B171" s="493" t="s">
        <v>358</v>
      </c>
      <c r="C171" t="s">
        <v>862</v>
      </c>
      <c r="D171" s="182">
        <v>5.9499999999999997E-2</v>
      </c>
      <c r="E171" s="494">
        <v>0.03</v>
      </c>
      <c r="K171" s="15"/>
      <c r="L171" s="15"/>
      <c r="M171" s="15"/>
      <c r="N171" s="477"/>
    </row>
    <row r="172" spans="1:14" x14ac:dyDescent="0.3">
      <c r="A172" s="492" t="s">
        <v>180</v>
      </c>
      <c r="B172" s="493" t="s">
        <v>359</v>
      </c>
      <c r="C172" t="s">
        <v>863</v>
      </c>
      <c r="D172" s="182">
        <v>0.99299999999999999</v>
      </c>
      <c r="E172" s="494">
        <v>0.41499999999999998</v>
      </c>
      <c r="K172" s="15"/>
      <c r="L172" s="15"/>
      <c r="M172" s="15"/>
      <c r="N172" s="477"/>
    </row>
    <row r="173" spans="1:14" x14ac:dyDescent="0.3">
      <c r="A173" s="492" t="s">
        <v>180</v>
      </c>
      <c r="B173" s="493" t="s">
        <v>566</v>
      </c>
      <c r="C173" t="s">
        <v>848</v>
      </c>
      <c r="D173" s="182">
        <v>3.8245</v>
      </c>
      <c r="E173" s="494">
        <v>0.23449999999999999</v>
      </c>
      <c r="K173" s="15"/>
      <c r="L173" s="15"/>
      <c r="M173" s="15"/>
      <c r="N173" s="477"/>
    </row>
    <row r="174" spans="1:14" x14ac:dyDescent="0.3">
      <c r="A174" s="492" t="s">
        <v>180</v>
      </c>
      <c r="B174" s="493" t="s">
        <v>360</v>
      </c>
      <c r="C174" t="s">
        <v>864</v>
      </c>
      <c r="D174" s="182">
        <v>0.60599999999999998</v>
      </c>
      <c r="E174" s="494">
        <v>0.67549999999999999</v>
      </c>
      <c r="F174" s="15"/>
      <c r="G174" s="15"/>
      <c r="K174" s="15"/>
      <c r="L174" s="15"/>
      <c r="M174" s="15"/>
      <c r="N174" s="477"/>
    </row>
    <row r="175" spans="1:14" x14ac:dyDescent="0.3">
      <c r="A175" s="492" t="s">
        <v>180</v>
      </c>
      <c r="B175" s="493" t="s">
        <v>361</v>
      </c>
      <c r="C175" t="s">
        <v>859</v>
      </c>
      <c r="D175" s="182">
        <v>7.2</v>
      </c>
      <c r="E175" s="494">
        <v>7.2</v>
      </c>
      <c r="K175" s="15"/>
      <c r="L175" s="15"/>
      <c r="M175" s="15"/>
      <c r="N175" s="477"/>
    </row>
    <row r="176" spans="1:14" x14ac:dyDescent="0.3">
      <c r="A176" s="492" t="s">
        <v>180</v>
      </c>
      <c r="B176" s="493" t="s">
        <v>865</v>
      </c>
      <c r="C176" t="s">
        <v>866</v>
      </c>
      <c r="D176" s="182">
        <v>0</v>
      </c>
      <c r="E176" s="494">
        <v>0.123</v>
      </c>
      <c r="K176" s="15"/>
      <c r="L176" s="15"/>
      <c r="M176" s="15"/>
      <c r="N176" s="477"/>
    </row>
    <row r="177" spans="1:14" x14ac:dyDescent="0.3">
      <c r="A177" s="492" t="s">
        <v>180</v>
      </c>
      <c r="B177" s="493" t="s">
        <v>867</v>
      </c>
      <c r="C177" t="s">
        <v>868</v>
      </c>
      <c r="D177" s="182">
        <v>0</v>
      </c>
      <c r="E177" s="494">
        <v>0.23050000000000001</v>
      </c>
      <c r="K177" s="15"/>
      <c r="L177" s="15"/>
      <c r="M177" s="15"/>
      <c r="N177" s="477"/>
    </row>
    <row r="178" spans="1:14" x14ac:dyDescent="0.3">
      <c r="A178" s="664" t="s">
        <v>362</v>
      </c>
      <c r="B178" s="665"/>
      <c r="C178" s="666"/>
      <c r="D178" s="495">
        <v>884.99450000000002</v>
      </c>
      <c r="E178" s="496">
        <v>882.86</v>
      </c>
      <c r="K178" s="15"/>
      <c r="L178" s="15"/>
      <c r="M178" s="15"/>
      <c r="N178" s="477"/>
    </row>
    <row r="179" spans="1:14" x14ac:dyDescent="0.3">
      <c r="A179" s="492" t="s">
        <v>86</v>
      </c>
      <c r="B179" s="493" t="s">
        <v>363</v>
      </c>
      <c r="C179" t="s">
        <v>869</v>
      </c>
      <c r="D179" s="182">
        <v>353.5675</v>
      </c>
      <c r="E179" s="494">
        <v>406.56200000000001</v>
      </c>
      <c r="K179" s="15"/>
      <c r="L179" s="15"/>
      <c r="M179" s="15"/>
      <c r="N179" s="477"/>
    </row>
    <row r="180" spans="1:14" x14ac:dyDescent="0.3">
      <c r="A180" s="492" t="s">
        <v>86</v>
      </c>
      <c r="B180" s="493" t="s">
        <v>364</v>
      </c>
      <c r="C180" t="s">
        <v>870</v>
      </c>
      <c r="D180" s="182">
        <v>4.9565000000000001</v>
      </c>
      <c r="E180" s="494">
        <v>4.5679999999999996</v>
      </c>
      <c r="F180" s="15"/>
      <c r="G180" s="15"/>
      <c r="K180" s="15"/>
      <c r="L180" s="15"/>
      <c r="M180" s="15"/>
      <c r="N180" s="477"/>
    </row>
    <row r="181" spans="1:14" x14ac:dyDescent="0.3">
      <c r="A181" s="492" t="s">
        <v>86</v>
      </c>
      <c r="B181" s="493" t="s">
        <v>365</v>
      </c>
      <c r="C181" t="s">
        <v>871</v>
      </c>
      <c r="D181" s="182">
        <v>52.113999999999997</v>
      </c>
      <c r="E181" s="494">
        <v>33.601999999999997</v>
      </c>
      <c r="K181" s="15"/>
      <c r="L181" s="15"/>
      <c r="M181" s="15"/>
      <c r="N181" s="477"/>
    </row>
    <row r="182" spans="1:14" x14ac:dyDescent="0.3">
      <c r="A182" s="492" t="s">
        <v>86</v>
      </c>
      <c r="B182" s="493" t="s">
        <v>367</v>
      </c>
      <c r="C182" t="s">
        <v>872</v>
      </c>
      <c r="D182" s="182">
        <v>958.85550000000001</v>
      </c>
      <c r="E182" s="494">
        <v>924.15899999999999</v>
      </c>
      <c r="K182" s="15"/>
      <c r="L182" s="15"/>
      <c r="M182" s="15"/>
      <c r="N182" s="477"/>
    </row>
    <row r="183" spans="1:14" x14ac:dyDescent="0.3">
      <c r="A183" s="492" t="s">
        <v>86</v>
      </c>
      <c r="B183" s="493" t="s">
        <v>368</v>
      </c>
      <c r="C183" t="s">
        <v>873</v>
      </c>
      <c r="D183" s="182">
        <v>18.8385</v>
      </c>
      <c r="E183" s="494">
        <v>21.952500000000001</v>
      </c>
      <c r="K183" s="15"/>
      <c r="L183" s="15"/>
      <c r="M183" s="15"/>
      <c r="N183" s="477"/>
    </row>
    <row r="184" spans="1:14" x14ac:dyDescent="0.3">
      <c r="A184" s="492" t="s">
        <v>86</v>
      </c>
      <c r="B184" s="493" t="s">
        <v>369</v>
      </c>
      <c r="C184" t="s">
        <v>874</v>
      </c>
      <c r="D184" s="182">
        <v>10.833</v>
      </c>
      <c r="E184" s="494">
        <v>19.6325</v>
      </c>
      <c r="K184" s="15"/>
      <c r="L184" s="15"/>
      <c r="M184" s="15"/>
      <c r="N184" s="477"/>
    </row>
    <row r="185" spans="1:14" x14ac:dyDescent="0.3">
      <c r="A185" s="492" t="s">
        <v>86</v>
      </c>
      <c r="B185" s="493" t="s">
        <v>370</v>
      </c>
      <c r="C185" t="s">
        <v>875</v>
      </c>
      <c r="D185" s="182">
        <v>320.21550000000002</v>
      </c>
      <c r="E185" s="494">
        <v>57.749000000000002</v>
      </c>
      <c r="K185" s="15"/>
      <c r="L185" s="15"/>
      <c r="M185" s="15"/>
      <c r="N185" s="477"/>
    </row>
    <row r="186" spans="1:14" x14ac:dyDescent="0.3">
      <c r="A186" s="492" t="s">
        <v>86</v>
      </c>
      <c r="B186" s="493" t="s">
        <v>371</v>
      </c>
      <c r="C186" t="s">
        <v>876</v>
      </c>
      <c r="D186" s="182">
        <v>274.63600000000002</v>
      </c>
      <c r="E186" s="494">
        <v>31.215</v>
      </c>
      <c r="K186" s="15"/>
      <c r="L186" s="15"/>
      <c r="M186" s="15"/>
      <c r="N186" s="477"/>
    </row>
    <row r="187" spans="1:14" x14ac:dyDescent="0.3">
      <c r="A187" s="664" t="s">
        <v>877</v>
      </c>
      <c r="B187" s="665"/>
      <c r="C187" s="666"/>
      <c r="D187" s="495">
        <v>1994.0165</v>
      </c>
      <c r="E187" s="496">
        <v>1499.44</v>
      </c>
      <c r="K187" s="15"/>
      <c r="L187" s="15"/>
      <c r="M187" s="15"/>
      <c r="N187" s="477"/>
    </row>
    <row r="188" spans="1:14" x14ac:dyDescent="0.3">
      <c r="A188" s="492" t="s">
        <v>181</v>
      </c>
      <c r="B188" s="493" t="s">
        <v>372</v>
      </c>
      <c r="C188" t="s">
        <v>878</v>
      </c>
      <c r="D188" s="182">
        <v>352.85599999999999</v>
      </c>
      <c r="E188" s="494">
        <v>379.83600000000001</v>
      </c>
      <c r="K188" s="15"/>
      <c r="L188" s="15"/>
      <c r="M188" s="15"/>
      <c r="N188" s="15"/>
    </row>
    <row r="189" spans="1:14" x14ac:dyDescent="0.3">
      <c r="A189" s="492" t="s">
        <v>181</v>
      </c>
      <c r="B189" s="493" t="s">
        <v>373</v>
      </c>
      <c r="C189" t="s">
        <v>879</v>
      </c>
      <c r="D189" s="182">
        <v>4.1814999999999998</v>
      </c>
      <c r="E189" s="494">
        <v>4.3499999999999996</v>
      </c>
    </row>
    <row r="190" spans="1:14" x14ac:dyDescent="0.3">
      <c r="A190" s="664" t="s">
        <v>880</v>
      </c>
      <c r="B190" s="665"/>
      <c r="C190" s="666"/>
      <c r="D190" s="495">
        <v>357.03750000000002</v>
      </c>
      <c r="E190" s="496">
        <v>384.18599999999998</v>
      </c>
    </row>
    <row r="191" spans="1:14" x14ac:dyDescent="0.3">
      <c r="A191" s="492" t="s">
        <v>374</v>
      </c>
      <c r="B191" s="493" t="s">
        <v>375</v>
      </c>
      <c r="C191" t="s">
        <v>881</v>
      </c>
      <c r="D191" s="182">
        <v>0.97550000000000003</v>
      </c>
      <c r="E191" s="494">
        <v>1.0549999999999999</v>
      </c>
    </row>
    <row r="192" spans="1:14" x14ac:dyDescent="0.3">
      <c r="A192" s="664" t="s">
        <v>376</v>
      </c>
      <c r="B192" s="665"/>
      <c r="C192" s="666"/>
      <c r="D192" s="495">
        <v>0.97550000000000003</v>
      </c>
      <c r="E192" s="496">
        <v>1.0549999999999999</v>
      </c>
    </row>
    <row r="193" spans="1:14" x14ac:dyDescent="0.3">
      <c r="A193" s="492" t="s">
        <v>377</v>
      </c>
      <c r="B193" s="493" t="s">
        <v>882</v>
      </c>
      <c r="C193" t="s">
        <v>883</v>
      </c>
      <c r="D193" s="182">
        <v>0</v>
      </c>
      <c r="E193" s="494">
        <v>1.284</v>
      </c>
    </row>
    <row r="194" spans="1:14" x14ac:dyDescent="0.3">
      <c r="A194" s="492" t="s">
        <v>377</v>
      </c>
      <c r="B194" s="493" t="s">
        <v>378</v>
      </c>
      <c r="C194" t="s">
        <v>884</v>
      </c>
      <c r="D194" s="182">
        <v>0.70350000000000001</v>
      </c>
      <c r="E194" s="494">
        <v>0</v>
      </c>
    </row>
    <row r="195" spans="1:14" x14ac:dyDescent="0.3">
      <c r="A195" s="492" t="s">
        <v>377</v>
      </c>
      <c r="B195" s="493" t="s">
        <v>379</v>
      </c>
      <c r="C195" t="s">
        <v>883</v>
      </c>
      <c r="D195" s="182">
        <v>3.7995000000000001</v>
      </c>
      <c r="E195" s="494">
        <v>0.627</v>
      </c>
    </row>
    <row r="196" spans="1:14" x14ac:dyDescent="0.3">
      <c r="A196" s="492" t="s">
        <v>377</v>
      </c>
      <c r="B196" s="493" t="s">
        <v>309</v>
      </c>
      <c r="C196" t="s">
        <v>885</v>
      </c>
      <c r="D196" s="182">
        <v>0.27500000000000002</v>
      </c>
      <c r="E196" s="494">
        <v>0.151</v>
      </c>
    </row>
    <row r="197" spans="1:14" x14ac:dyDescent="0.3">
      <c r="A197" s="492" t="s">
        <v>377</v>
      </c>
      <c r="B197" s="493" t="s">
        <v>380</v>
      </c>
      <c r="C197" t="s">
        <v>886</v>
      </c>
      <c r="D197" s="182">
        <v>5.0000000000000001E-3</v>
      </c>
      <c r="E197" s="494">
        <v>0.20499999999999999</v>
      </c>
    </row>
    <row r="198" spans="1:14" x14ac:dyDescent="0.3">
      <c r="A198" s="492" t="s">
        <v>377</v>
      </c>
      <c r="B198" s="493" t="s">
        <v>381</v>
      </c>
      <c r="C198" t="s">
        <v>887</v>
      </c>
      <c r="D198" s="182">
        <v>26.356999999999999</v>
      </c>
      <c r="E198" s="494">
        <v>28.230499999999999</v>
      </c>
    </row>
    <row r="199" spans="1:14" x14ac:dyDescent="0.3">
      <c r="A199" s="492" t="s">
        <v>377</v>
      </c>
      <c r="B199" s="493" t="s">
        <v>382</v>
      </c>
      <c r="C199" t="s">
        <v>888</v>
      </c>
      <c r="D199" s="182">
        <v>9.1965000000000003</v>
      </c>
      <c r="E199" s="494">
        <v>9.3335000000000008</v>
      </c>
    </row>
    <row r="200" spans="1:14" x14ac:dyDescent="0.3">
      <c r="A200" s="492" t="s">
        <v>377</v>
      </c>
      <c r="B200" s="493" t="s">
        <v>329</v>
      </c>
      <c r="C200" t="s">
        <v>889</v>
      </c>
      <c r="D200" s="182">
        <v>5.7500000000000002E-2</v>
      </c>
      <c r="E200" s="494">
        <v>1.6500000000000001E-2</v>
      </c>
    </row>
    <row r="201" spans="1:14" x14ac:dyDescent="0.3">
      <c r="A201" s="492" t="s">
        <v>377</v>
      </c>
      <c r="B201" s="493" t="s">
        <v>329</v>
      </c>
      <c r="C201" t="s">
        <v>890</v>
      </c>
      <c r="D201" s="182">
        <v>0.23799999999999999</v>
      </c>
      <c r="E201" s="494">
        <v>0</v>
      </c>
    </row>
    <row r="202" spans="1:14" x14ac:dyDescent="0.3">
      <c r="A202" s="492" t="s">
        <v>377</v>
      </c>
      <c r="B202" s="493" t="s">
        <v>383</v>
      </c>
      <c r="C202" t="s">
        <v>891</v>
      </c>
      <c r="D202" s="182">
        <v>2.0049999999999999</v>
      </c>
      <c r="E202" s="494">
        <v>4.758</v>
      </c>
    </row>
    <row r="203" spans="1:14" x14ac:dyDescent="0.3">
      <c r="A203" s="492" t="s">
        <v>377</v>
      </c>
      <c r="B203" s="493" t="s">
        <v>384</v>
      </c>
      <c r="C203" t="s">
        <v>892</v>
      </c>
      <c r="D203" s="182">
        <v>0</v>
      </c>
      <c r="E203" s="494">
        <v>3.867</v>
      </c>
    </row>
    <row r="204" spans="1:14" x14ac:dyDescent="0.3">
      <c r="A204" s="492" t="s">
        <v>377</v>
      </c>
      <c r="B204" s="493" t="s">
        <v>385</v>
      </c>
      <c r="C204" t="s">
        <v>892</v>
      </c>
      <c r="D204" s="182">
        <v>3.7515000000000001</v>
      </c>
      <c r="E204" s="494">
        <v>1.2895000000000001</v>
      </c>
      <c r="K204" s="15"/>
      <c r="L204" s="15"/>
      <c r="M204" s="15"/>
      <c r="N204" s="15"/>
    </row>
    <row r="205" spans="1:14" x14ac:dyDescent="0.3">
      <c r="A205" s="492" t="s">
        <v>377</v>
      </c>
      <c r="B205" s="493" t="s">
        <v>386</v>
      </c>
      <c r="C205" t="s">
        <v>893</v>
      </c>
      <c r="D205" s="182">
        <v>2.641</v>
      </c>
      <c r="E205" s="494">
        <v>2.8879999999999999</v>
      </c>
      <c r="K205" s="15"/>
      <c r="L205" s="15"/>
      <c r="M205" s="15"/>
      <c r="N205" s="477"/>
    </row>
    <row r="206" spans="1:14" x14ac:dyDescent="0.3">
      <c r="A206" s="492" t="s">
        <v>377</v>
      </c>
      <c r="B206" s="493" t="s">
        <v>386</v>
      </c>
      <c r="C206" t="s">
        <v>894</v>
      </c>
      <c r="D206" s="182">
        <v>2.3334999999999999</v>
      </c>
      <c r="E206" s="494">
        <v>1.9884999999999999</v>
      </c>
      <c r="K206" s="15"/>
      <c r="L206" s="15"/>
      <c r="M206" s="15"/>
      <c r="N206" s="15"/>
    </row>
    <row r="207" spans="1:14" x14ac:dyDescent="0.3">
      <c r="A207" s="492" t="s">
        <v>377</v>
      </c>
      <c r="B207" s="493" t="s">
        <v>355</v>
      </c>
      <c r="C207" t="s">
        <v>895</v>
      </c>
      <c r="D207" s="182">
        <v>0.1575</v>
      </c>
      <c r="E207" s="494">
        <v>7.3499999999999996E-2</v>
      </c>
      <c r="K207" s="15"/>
      <c r="L207" s="15"/>
      <c r="M207" s="15"/>
      <c r="N207" s="477"/>
    </row>
    <row r="208" spans="1:14" x14ac:dyDescent="0.3">
      <c r="A208" s="492" t="s">
        <v>377</v>
      </c>
      <c r="B208" s="493" t="s">
        <v>355</v>
      </c>
      <c r="C208" t="s">
        <v>896</v>
      </c>
      <c r="D208" s="182">
        <v>16.0365</v>
      </c>
      <c r="E208" s="494">
        <v>9.9815000000000005</v>
      </c>
      <c r="K208" s="15"/>
      <c r="L208" s="15"/>
      <c r="M208" s="15"/>
      <c r="N208" s="15"/>
    </row>
    <row r="209" spans="1:14" x14ac:dyDescent="0.3">
      <c r="A209" s="492" t="s">
        <v>377</v>
      </c>
      <c r="B209" s="493" t="s">
        <v>355</v>
      </c>
      <c r="C209" t="s">
        <v>897</v>
      </c>
      <c r="D209" s="182">
        <v>0</v>
      </c>
      <c r="E209" s="494">
        <v>2.673</v>
      </c>
      <c r="F209" s="4"/>
      <c r="G209" s="4"/>
      <c r="H209" s="4"/>
      <c r="J209" s="4"/>
      <c r="K209" s="477"/>
      <c r="L209" s="477"/>
      <c r="M209" s="477"/>
      <c r="N209" s="477"/>
    </row>
    <row r="210" spans="1:14" x14ac:dyDescent="0.3">
      <c r="A210" s="499" t="s">
        <v>377</v>
      </c>
      <c r="B210" s="493" t="s">
        <v>355</v>
      </c>
      <c r="C210" t="s">
        <v>898</v>
      </c>
      <c r="D210" s="182">
        <v>2.75</v>
      </c>
      <c r="E210" s="494">
        <v>3.1505000000000001</v>
      </c>
      <c r="K210" s="15"/>
      <c r="L210" s="15"/>
      <c r="M210" s="15"/>
      <c r="N210" s="15"/>
    </row>
    <row r="211" spans="1:14" x14ac:dyDescent="0.3">
      <c r="A211" s="664" t="s">
        <v>387</v>
      </c>
      <c r="B211" s="665"/>
      <c r="C211" s="666"/>
      <c r="D211" s="495">
        <v>70.307000000000002</v>
      </c>
      <c r="E211" s="496">
        <v>70.516999999999996</v>
      </c>
      <c r="F211" s="4"/>
      <c r="G211" s="4"/>
      <c r="H211" s="4"/>
      <c r="J211" s="4"/>
      <c r="K211" s="477"/>
      <c r="L211" s="477"/>
      <c r="M211" s="477"/>
      <c r="N211" s="477"/>
    </row>
    <row r="212" spans="1:14" x14ac:dyDescent="0.3">
      <c r="A212" s="492" t="s">
        <v>388</v>
      </c>
      <c r="B212" s="493" t="s">
        <v>389</v>
      </c>
      <c r="C212" t="s">
        <v>899</v>
      </c>
      <c r="D212" s="182">
        <v>1.08</v>
      </c>
      <c r="E212" s="494">
        <v>0.84</v>
      </c>
      <c r="K212" s="15"/>
      <c r="L212" s="15"/>
      <c r="M212" s="15"/>
      <c r="N212" s="15"/>
    </row>
    <row r="213" spans="1:14" x14ac:dyDescent="0.3">
      <c r="A213" s="664" t="s">
        <v>390</v>
      </c>
      <c r="B213" s="665"/>
      <c r="C213" s="666"/>
      <c r="D213" s="495">
        <v>1.08</v>
      </c>
      <c r="E213" s="496">
        <v>0.84</v>
      </c>
      <c r="F213" s="4"/>
      <c r="G213" s="4"/>
      <c r="H213" s="4"/>
      <c r="J213" s="4"/>
      <c r="K213" s="477"/>
      <c r="L213" s="477"/>
      <c r="M213" s="477"/>
      <c r="N213" s="477"/>
    </row>
    <row r="214" spans="1:14" x14ac:dyDescent="0.3">
      <c r="A214" s="492" t="s">
        <v>87</v>
      </c>
      <c r="B214" s="493" t="s">
        <v>391</v>
      </c>
      <c r="C214" t="s">
        <v>900</v>
      </c>
      <c r="D214" s="182">
        <v>0.25</v>
      </c>
      <c r="E214" s="494">
        <v>0.14000000000000001</v>
      </c>
      <c r="K214" s="15"/>
      <c r="L214" s="15"/>
      <c r="M214" s="15"/>
      <c r="N214" s="15"/>
    </row>
    <row r="215" spans="1:14" x14ac:dyDescent="0.3">
      <c r="A215" s="492" t="s">
        <v>87</v>
      </c>
      <c r="B215" s="493" t="s">
        <v>392</v>
      </c>
      <c r="C215" t="s">
        <v>901</v>
      </c>
      <c r="D215" s="182">
        <v>920.03250000000003</v>
      </c>
      <c r="E215" s="494">
        <v>952.44899999999996</v>
      </c>
      <c r="F215" s="4"/>
      <c r="G215" s="4"/>
      <c r="H215" s="4"/>
      <c r="J215" s="4"/>
      <c r="K215" s="477"/>
      <c r="L215" s="477"/>
      <c r="M215" s="477"/>
      <c r="N215" s="477"/>
    </row>
    <row r="216" spans="1:14" x14ac:dyDescent="0.3">
      <c r="A216" s="492" t="s">
        <v>87</v>
      </c>
      <c r="B216" s="493" t="s">
        <v>393</v>
      </c>
      <c r="C216" t="s">
        <v>902</v>
      </c>
      <c r="D216" s="182">
        <v>5.8784999999999998</v>
      </c>
      <c r="E216" s="494">
        <v>0.82950000000000002</v>
      </c>
      <c r="K216" s="15"/>
      <c r="L216" s="15"/>
      <c r="M216" s="15"/>
      <c r="N216" s="15"/>
    </row>
    <row r="217" spans="1:14" x14ac:dyDescent="0.3">
      <c r="A217" s="492" t="s">
        <v>87</v>
      </c>
      <c r="B217" s="493" t="s">
        <v>394</v>
      </c>
      <c r="C217" t="s">
        <v>903</v>
      </c>
      <c r="D217" s="182">
        <v>1250.5350000000001</v>
      </c>
      <c r="E217" s="494">
        <v>1257.884</v>
      </c>
      <c r="N217" s="15"/>
    </row>
    <row r="218" spans="1:14" x14ac:dyDescent="0.3">
      <c r="A218" s="492" t="s">
        <v>87</v>
      </c>
      <c r="B218" s="493" t="s">
        <v>394</v>
      </c>
      <c r="C218" t="s">
        <v>904</v>
      </c>
      <c r="D218" s="182">
        <v>1463.5464999999999</v>
      </c>
      <c r="E218" s="494">
        <v>1671.3895</v>
      </c>
      <c r="N218" s="15"/>
    </row>
    <row r="219" spans="1:14" x14ac:dyDescent="0.3">
      <c r="A219" s="492" t="s">
        <v>87</v>
      </c>
      <c r="B219" s="493" t="s">
        <v>395</v>
      </c>
      <c r="C219" t="s">
        <v>905</v>
      </c>
      <c r="D219" s="182">
        <v>303.86250000000001</v>
      </c>
      <c r="E219" s="494">
        <v>299.39499999999998</v>
      </c>
      <c r="N219" s="15"/>
    </row>
    <row r="220" spans="1:14" x14ac:dyDescent="0.3">
      <c r="A220" s="492" t="s">
        <v>87</v>
      </c>
      <c r="B220" s="493" t="s">
        <v>396</v>
      </c>
      <c r="C220" t="s">
        <v>906</v>
      </c>
      <c r="D220" s="182">
        <v>169.898</v>
      </c>
      <c r="E220" s="494">
        <v>353.05349999999999</v>
      </c>
      <c r="N220" s="15"/>
    </row>
    <row r="221" spans="1:14" x14ac:dyDescent="0.3">
      <c r="A221" s="492" t="s">
        <v>87</v>
      </c>
      <c r="B221" s="493" t="s">
        <v>397</v>
      </c>
      <c r="C221" t="s">
        <v>907</v>
      </c>
      <c r="D221" s="182">
        <v>26.846</v>
      </c>
      <c r="E221" s="494">
        <v>0</v>
      </c>
      <c r="N221" s="477"/>
    </row>
    <row r="222" spans="1:14" x14ac:dyDescent="0.3">
      <c r="A222" s="492" t="s">
        <v>87</v>
      </c>
      <c r="B222" s="493" t="s">
        <v>398</v>
      </c>
      <c r="C222" t="s">
        <v>908</v>
      </c>
      <c r="D222" s="182">
        <v>0.151</v>
      </c>
      <c r="E222" s="494">
        <v>4.2000000000000003E-2</v>
      </c>
      <c r="N222" s="15"/>
    </row>
    <row r="223" spans="1:14" x14ac:dyDescent="0.3">
      <c r="A223" s="492" t="s">
        <v>87</v>
      </c>
      <c r="B223" s="493" t="s">
        <v>399</v>
      </c>
      <c r="C223" t="s">
        <v>909</v>
      </c>
      <c r="D223" s="182">
        <v>246.18799999999999</v>
      </c>
      <c r="E223" s="494">
        <v>307.56349999999998</v>
      </c>
      <c r="N223" s="15"/>
    </row>
    <row r="224" spans="1:14" x14ac:dyDescent="0.3">
      <c r="A224" s="492" t="s">
        <v>87</v>
      </c>
      <c r="B224" s="493" t="s">
        <v>400</v>
      </c>
      <c r="C224" t="s">
        <v>910</v>
      </c>
      <c r="D224" s="182">
        <v>292.30349999999999</v>
      </c>
      <c r="E224" s="494">
        <v>337.774</v>
      </c>
      <c r="N224" s="15"/>
    </row>
    <row r="225" spans="1:14" x14ac:dyDescent="0.3">
      <c r="A225" s="492" t="s">
        <v>87</v>
      </c>
      <c r="B225" s="493" t="s">
        <v>401</v>
      </c>
      <c r="C225" t="s">
        <v>911</v>
      </c>
      <c r="D225" s="182">
        <v>0</v>
      </c>
      <c r="E225" s="494">
        <v>2.3279999999999998</v>
      </c>
      <c r="N225" s="15"/>
    </row>
    <row r="226" spans="1:14" x14ac:dyDescent="0.3">
      <c r="A226" s="492" t="s">
        <v>87</v>
      </c>
      <c r="B226" s="493" t="s">
        <v>401</v>
      </c>
      <c r="C226" t="s">
        <v>912</v>
      </c>
      <c r="D226" s="182">
        <v>0</v>
      </c>
      <c r="E226" s="494">
        <v>38.087499999999999</v>
      </c>
      <c r="N226" s="15"/>
    </row>
    <row r="227" spans="1:14" x14ac:dyDescent="0.3">
      <c r="A227" s="492" t="s">
        <v>87</v>
      </c>
      <c r="B227" s="493" t="s">
        <v>401</v>
      </c>
      <c r="C227" t="s">
        <v>913</v>
      </c>
      <c r="D227" s="182">
        <v>121.2835</v>
      </c>
      <c r="E227" s="494">
        <v>82.611999999999995</v>
      </c>
      <c r="N227" s="15"/>
    </row>
    <row r="228" spans="1:14" x14ac:dyDescent="0.3">
      <c r="A228" s="492" t="s">
        <v>87</v>
      </c>
      <c r="B228" s="493" t="s">
        <v>402</v>
      </c>
      <c r="C228" t="s">
        <v>914</v>
      </c>
      <c r="D228" s="182">
        <v>203.98949999999999</v>
      </c>
      <c r="E228" s="494">
        <v>213.27799999999999</v>
      </c>
      <c r="N228" s="15"/>
    </row>
    <row r="229" spans="1:14" x14ac:dyDescent="0.3">
      <c r="A229" s="492" t="s">
        <v>87</v>
      </c>
      <c r="B229" s="493" t="s">
        <v>402</v>
      </c>
      <c r="C229" t="s">
        <v>915</v>
      </c>
      <c r="D229" s="182">
        <v>743.9085</v>
      </c>
      <c r="E229" s="494">
        <v>804.90949999999998</v>
      </c>
      <c r="N229" s="15"/>
    </row>
    <row r="230" spans="1:14" x14ac:dyDescent="0.3">
      <c r="A230" s="492" t="s">
        <v>87</v>
      </c>
      <c r="B230" s="493" t="s">
        <v>402</v>
      </c>
      <c r="C230" t="s">
        <v>916</v>
      </c>
      <c r="D230" s="182">
        <v>162.227</v>
      </c>
      <c r="E230" s="494">
        <v>127.67400000000001</v>
      </c>
      <c r="N230" s="15"/>
    </row>
    <row r="231" spans="1:14" x14ac:dyDescent="0.3">
      <c r="A231" s="492" t="s">
        <v>87</v>
      </c>
      <c r="B231" s="493" t="s">
        <v>403</v>
      </c>
      <c r="C231" t="s">
        <v>917</v>
      </c>
      <c r="D231" s="182">
        <v>0.27</v>
      </c>
      <c r="E231" s="494">
        <v>1.728</v>
      </c>
      <c r="N231" s="15"/>
    </row>
    <row r="232" spans="1:14" x14ac:dyDescent="0.3">
      <c r="A232" s="492" t="s">
        <v>87</v>
      </c>
      <c r="B232" s="493" t="s">
        <v>404</v>
      </c>
      <c r="C232" t="s">
        <v>918</v>
      </c>
      <c r="D232" s="182">
        <v>36.485999999999997</v>
      </c>
      <c r="E232" s="494">
        <v>31.722000000000001</v>
      </c>
      <c r="N232" s="15"/>
    </row>
    <row r="233" spans="1:14" x14ac:dyDescent="0.3">
      <c r="A233" s="492" t="s">
        <v>87</v>
      </c>
      <c r="B233" s="493" t="s">
        <v>405</v>
      </c>
      <c r="C233" t="s">
        <v>919</v>
      </c>
      <c r="D233" s="182">
        <v>0</v>
      </c>
      <c r="E233" s="494">
        <v>2E-3</v>
      </c>
      <c r="N233" s="477"/>
    </row>
    <row r="234" spans="1:14" x14ac:dyDescent="0.3">
      <c r="A234" s="492" t="s">
        <v>87</v>
      </c>
      <c r="B234" s="493" t="s">
        <v>406</v>
      </c>
      <c r="C234" t="s">
        <v>920</v>
      </c>
      <c r="D234" s="182">
        <v>2E-3</v>
      </c>
      <c r="E234" s="494">
        <v>0.16550000000000001</v>
      </c>
      <c r="N234" s="15"/>
    </row>
    <row r="235" spans="1:14" x14ac:dyDescent="0.3">
      <c r="A235" s="492" t="s">
        <v>87</v>
      </c>
      <c r="B235" s="493" t="s">
        <v>407</v>
      </c>
      <c r="C235" t="s">
        <v>921</v>
      </c>
      <c r="D235" s="182">
        <v>1.4999999999999999E-2</v>
      </c>
      <c r="E235" s="494">
        <v>0.02</v>
      </c>
      <c r="N235" s="477"/>
    </row>
    <row r="236" spans="1:14" x14ac:dyDescent="0.3">
      <c r="A236" s="492" t="s">
        <v>87</v>
      </c>
      <c r="B236" s="493" t="s">
        <v>407</v>
      </c>
      <c r="C236" t="s">
        <v>922</v>
      </c>
      <c r="D236" s="182">
        <v>4.1310000000000002</v>
      </c>
      <c r="E236" s="494">
        <v>19.517499999999998</v>
      </c>
      <c r="N236" s="477"/>
    </row>
    <row r="237" spans="1:14" x14ac:dyDescent="0.3">
      <c r="A237" s="492" t="s">
        <v>87</v>
      </c>
      <c r="B237" s="493" t="s">
        <v>407</v>
      </c>
      <c r="C237" t="s">
        <v>923</v>
      </c>
      <c r="D237" s="182">
        <v>0</v>
      </c>
      <c r="E237" s="494">
        <v>16.007000000000001</v>
      </c>
      <c r="N237" s="15"/>
    </row>
    <row r="238" spans="1:14" x14ac:dyDescent="0.3">
      <c r="A238" s="492" t="s">
        <v>87</v>
      </c>
      <c r="B238" s="493" t="s">
        <v>408</v>
      </c>
      <c r="C238" t="s">
        <v>924</v>
      </c>
      <c r="D238" s="182">
        <v>1.7504999999999999</v>
      </c>
      <c r="E238" s="494">
        <v>1.2330000000000001</v>
      </c>
      <c r="N238" s="477"/>
    </row>
    <row r="239" spans="1:14" x14ac:dyDescent="0.3">
      <c r="A239" s="492" t="s">
        <v>87</v>
      </c>
      <c r="B239" s="493" t="s">
        <v>409</v>
      </c>
      <c r="C239" t="s">
        <v>925</v>
      </c>
      <c r="D239" s="182">
        <v>0.05</v>
      </c>
      <c r="E239" s="494">
        <v>0</v>
      </c>
      <c r="N239" s="15"/>
    </row>
    <row r="240" spans="1:14" x14ac:dyDescent="0.3">
      <c r="A240" s="492" t="s">
        <v>87</v>
      </c>
      <c r="B240" s="493" t="s">
        <v>410</v>
      </c>
      <c r="C240" t="s">
        <v>926</v>
      </c>
      <c r="D240" s="182">
        <v>13.2</v>
      </c>
      <c r="E240" s="494">
        <v>1.631</v>
      </c>
      <c r="N240" s="477"/>
    </row>
    <row r="241" spans="1:14" x14ac:dyDescent="0.3">
      <c r="A241" s="492" t="s">
        <v>87</v>
      </c>
      <c r="B241" s="493" t="s">
        <v>411</v>
      </c>
      <c r="C241" t="s">
        <v>927</v>
      </c>
      <c r="D241" s="182">
        <v>0.65449999999999997</v>
      </c>
      <c r="E241" s="494">
        <v>1.0965</v>
      </c>
      <c r="N241" s="15"/>
    </row>
    <row r="242" spans="1:14" x14ac:dyDescent="0.3">
      <c r="A242" s="492" t="s">
        <v>87</v>
      </c>
      <c r="B242" s="493" t="s">
        <v>928</v>
      </c>
      <c r="C242" t="s">
        <v>929</v>
      </c>
      <c r="D242" s="182">
        <v>423.77449999999999</v>
      </c>
      <c r="E242" s="494">
        <v>410.62200000000001</v>
      </c>
    </row>
    <row r="243" spans="1:14" x14ac:dyDescent="0.3">
      <c r="A243" s="492" t="s">
        <v>87</v>
      </c>
      <c r="B243" s="493" t="s">
        <v>412</v>
      </c>
      <c r="C243" t="s">
        <v>930</v>
      </c>
      <c r="D243" s="182">
        <v>6.03</v>
      </c>
      <c r="E243" s="494">
        <v>2.8889999999999998</v>
      </c>
    </row>
    <row r="244" spans="1:14" x14ac:dyDescent="0.3">
      <c r="A244" s="492" t="s">
        <v>87</v>
      </c>
      <c r="B244" s="493" t="s">
        <v>413</v>
      </c>
      <c r="C244" t="s">
        <v>931</v>
      </c>
      <c r="D244" s="182">
        <v>0.76549999999999996</v>
      </c>
      <c r="E244" s="494">
        <v>1.6970000000000001</v>
      </c>
    </row>
    <row r="245" spans="1:14" x14ac:dyDescent="0.3">
      <c r="A245" s="492" t="s">
        <v>87</v>
      </c>
      <c r="B245" s="493" t="s">
        <v>414</v>
      </c>
      <c r="C245" t="s">
        <v>932</v>
      </c>
      <c r="D245" s="182">
        <v>1.504</v>
      </c>
      <c r="E245" s="494">
        <v>0</v>
      </c>
    </row>
    <row r="246" spans="1:14" x14ac:dyDescent="0.3">
      <c r="A246" s="492" t="s">
        <v>87</v>
      </c>
      <c r="B246" s="493" t="s">
        <v>415</v>
      </c>
      <c r="C246" t="s">
        <v>933</v>
      </c>
      <c r="D246" s="182">
        <v>1.86</v>
      </c>
      <c r="E246" s="494">
        <v>0</v>
      </c>
    </row>
    <row r="247" spans="1:14" x14ac:dyDescent="0.3">
      <c r="A247" s="492" t="s">
        <v>87</v>
      </c>
      <c r="B247" s="493" t="s">
        <v>934</v>
      </c>
      <c r="C247" t="s">
        <v>935</v>
      </c>
      <c r="D247" s="182">
        <v>0</v>
      </c>
      <c r="E247" s="494">
        <v>2.3849999999999998</v>
      </c>
    </row>
    <row r="248" spans="1:14" x14ac:dyDescent="0.3">
      <c r="A248" s="492" t="s">
        <v>87</v>
      </c>
      <c r="B248" s="493" t="s">
        <v>416</v>
      </c>
      <c r="C248" t="s">
        <v>936</v>
      </c>
      <c r="D248" s="182">
        <v>273.39800000000002</v>
      </c>
      <c r="E248" s="494">
        <v>233.2225</v>
      </c>
    </row>
    <row r="249" spans="1:14" x14ac:dyDescent="0.3">
      <c r="A249" s="492" t="s">
        <v>87</v>
      </c>
      <c r="B249" s="493" t="s">
        <v>416</v>
      </c>
      <c r="C249" t="s">
        <v>937</v>
      </c>
      <c r="D249" s="182">
        <v>4.9924999999999997</v>
      </c>
      <c r="E249" s="494">
        <v>0</v>
      </c>
    </row>
    <row r="250" spans="1:14" x14ac:dyDescent="0.3">
      <c r="A250" s="492" t="s">
        <v>87</v>
      </c>
      <c r="B250" s="493" t="s">
        <v>417</v>
      </c>
      <c r="C250" t="s">
        <v>938</v>
      </c>
      <c r="D250" s="182">
        <v>7.0000000000000007E-2</v>
      </c>
      <c r="E250" s="494">
        <v>0.16750000000000001</v>
      </c>
    </row>
    <row r="251" spans="1:14" x14ac:dyDescent="0.3">
      <c r="A251" s="492" t="s">
        <v>87</v>
      </c>
      <c r="B251" s="493" t="s">
        <v>418</v>
      </c>
      <c r="C251" t="s">
        <v>939</v>
      </c>
      <c r="D251" s="182">
        <v>413.58600000000001</v>
      </c>
      <c r="E251" s="494">
        <v>430.2595</v>
      </c>
    </row>
    <row r="252" spans="1:14" x14ac:dyDescent="0.3">
      <c r="A252" s="492" t="s">
        <v>87</v>
      </c>
      <c r="B252" s="493" t="s">
        <v>419</v>
      </c>
      <c r="C252" t="s">
        <v>940</v>
      </c>
      <c r="D252" s="182">
        <v>1.84</v>
      </c>
      <c r="E252" s="494">
        <v>2.9649999999999999</v>
      </c>
    </row>
    <row r="253" spans="1:14" x14ac:dyDescent="0.3">
      <c r="A253" s="492" t="s">
        <v>87</v>
      </c>
      <c r="B253" s="493" t="s">
        <v>420</v>
      </c>
      <c r="C253" t="s">
        <v>941</v>
      </c>
      <c r="D253" s="182">
        <v>267.26600000000002</v>
      </c>
      <c r="E253" s="494">
        <v>276.53500000000003</v>
      </c>
    </row>
    <row r="254" spans="1:14" x14ac:dyDescent="0.3">
      <c r="A254" s="492" t="s">
        <v>87</v>
      </c>
      <c r="B254" s="493" t="s">
        <v>420</v>
      </c>
      <c r="C254" t="s">
        <v>942</v>
      </c>
      <c r="D254" s="182">
        <v>1.944</v>
      </c>
      <c r="E254" s="494">
        <v>56.706499999999998</v>
      </c>
    </row>
    <row r="255" spans="1:14" x14ac:dyDescent="0.3">
      <c r="A255" s="492" t="s">
        <v>87</v>
      </c>
      <c r="B255" s="493" t="s">
        <v>421</v>
      </c>
      <c r="C255" t="s">
        <v>943</v>
      </c>
      <c r="D255" s="182">
        <v>115.0565</v>
      </c>
      <c r="E255" s="494">
        <v>169.5975</v>
      </c>
    </row>
    <row r="256" spans="1:14" x14ac:dyDescent="0.3">
      <c r="A256" s="492" t="s">
        <v>87</v>
      </c>
      <c r="B256" s="493" t="s">
        <v>422</v>
      </c>
      <c r="C256" t="s">
        <v>944</v>
      </c>
      <c r="D256" s="182">
        <v>106.33</v>
      </c>
      <c r="E256" s="494">
        <v>193.1345</v>
      </c>
    </row>
    <row r="257" spans="1:5" x14ac:dyDescent="0.3">
      <c r="A257" s="492" t="s">
        <v>87</v>
      </c>
      <c r="B257" s="493" t="s">
        <v>422</v>
      </c>
      <c r="C257" t="s">
        <v>945</v>
      </c>
      <c r="D257" s="182">
        <v>510.334</v>
      </c>
      <c r="E257" s="494">
        <v>432.40050000000002</v>
      </c>
    </row>
    <row r="258" spans="1:5" x14ac:dyDescent="0.3">
      <c r="A258" s="492" t="s">
        <v>87</v>
      </c>
      <c r="B258" s="493" t="s">
        <v>422</v>
      </c>
      <c r="C258" t="s">
        <v>946</v>
      </c>
      <c r="D258" s="182">
        <v>45.765999999999998</v>
      </c>
      <c r="E258" s="494">
        <v>0</v>
      </c>
    </row>
    <row r="259" spans="1:5" x14ac:dyDescent="0.3">
      <c r="A259" s="492" t="s">
        <v>87</v>
      </c>
      <c r="B259" s="493" t="s">
        <v>422</v>
      </c>
      <c r="C259" t="s">
        <v>947</v>
      </c>
      <c r="D259" s="182">
        <v>137.03800000000001</v>
      </c>
      <c r="E259" s="494">
        <v>293.471</v>
      </c>
    </row>
    <row r="260" spans="1:5" x14ac:dyDescent="0.3">
      <c r="A260" s="492" t="s">
        <v>87</v>
      </c>
      <c r="B260" s="493" t="s">
        <v>423</v>
      </c>
      <c r="C260" t="s">
        <v>948</v>
      </c>
      <c r="D260" s="182">
        <v>0.89200000000000002</v>
      </c>
      <c r="E260" s="494">
        <v>0.29399999999999998</v>
      </c>
    </row>
    <row r="261" spans="1:5" x14ac:dyDescent="0.3">
      <c r="A261" s="492" t="s">
        <v>87</v>
      </c>
      <c r="B261" s="493" t="s">
        <v>424</v>
      </c>
      <c r="C261" t="s">
        <v>949</v>
      </c>
      <c r="D261" s="182">
        <v>72.576999999999998</v>
      </c>
      <c r="E261" s="494">
        <v>231.57599999999999</v>
      </c>
    </row>
    <row r="262" spans="1:5" x14ac:dyDescent="0.3">
      <c r="A262" s="492" t="s">
        <v>87</v>
      </c>
      <c r="B262" s="493" t="s">
        <v>425</v>
      </c>
      <c r="C262" t="s">
        <v>950</v>
      </c>
      <c r="D262" s="182">
        <v>0</v>
      </c>
      <c r="E262" s="494">
        <v>680.61149999999998</v>
      </c>
    </row>
    <row r="263" spans="1:5" x14ac:dyDescent="0.3">
      <c r="A263" s="492" t="s">
        <v>87</v>
      </c>
      <c r="B263" s="493" t="s">
        <v>425</v>
      </c>
      <c r="C263" t="s">
        <v>951</v>
      </c>
      <c r="D263" s="182">
        <v>19.9815</v>
      </c>
      <c r="E263" s="494">
        <v>6.6000000000000003E-2</v>
      </c>
    </row>
    <row r="264" spans="1:5" x14ac:dyDescent="0.3">
      <c r="A264" s="492" t="s">
        <v>87</v>
      </c>
      <c r="B264" s="493" t="s">
        <v>425</v>
      </c>
      <c r="C264" t="s">
        <v>952</v>
      </c>
      <c r="D264" s="182">
        <v>7.0069999999999997</v>
      </c>
      <c r="E264" s="494">
        <v>124.61799999999999</v>
      </c>
    </row>
    <row r="265" spans="1:5" x14ac:dyDescent="0.3">
      <c r="A265" s="492" t="s">
        <v>87</v>
      </c>
      <c r="B265" s="493" t="s">
        <v>426</v>
      </c>
      <c r="C265" t="s">
        <v>953</v>
      </c>
      <c r="D265" s="182">
        <v>115.0795</v>
      </c>
      <c r="E265" s="494">
        <v>69.369500000000002</v>
      </c>
    </row>
    <row r="266" spans="1:5" x14ac:dyDescent="0.3">
      <c r="A266" s="492" t="s">
        <v>87</v>
      </c>
      <c r="B266" s="493" t="s">
        <v>427</v>
      </c>
      <c r="C266" t="s">
        <v>954</v>
      </c>
      <c r="D266" s="182">
        <v>53.567999999999998</v>
      </c>
      <c r="E266" s="494">
        <v>0</v>
      </c>
    </row>
    <row r="267" spans="1:5" x14ac:dyDescent="0.3">
      <c r="A267" s="492" t="s">
        <v>87</v>
      </c>
      <c r="B267" s="493" t="s">
        <v>428</v>
      </c>
      <c r="C267" t="s">
        <v>955</v>
      </c>
      <c r="D267" s="182">
        <v>422.85449999999997</v>
      </c>
      <c r="E267" s="494">
        <v>789.5145</v>
      </c>
    </row>
    <row r="268" spans="1:5" x14ac:dyDescent="0.3">
      <c r="A268" s="492" t="s">
        <v>87</v>
      </c>
      <c r="B268" s="493" t="s">
        <v>429</v>
      </c>
      <c r="C268" t="s">
        <v>956</v>
      </c>
      <c r="D268" s="182">
        <v>0.58050000000000002</v>
      </c>
      <c r="E268" s="494">
        <v>0</v>
      </c>
    </row>
    <row r="269" spans="1:5" x14ac:dyDescent="0.3">
      <c r="A269" s="492" t="s">
        <v>87</v>
      </c>
      <c r="B269" s="493" t="s">
        <v>430</v>
      </c>
      <c r="C269" t="s">
        <v>957</v>
      </c>
      <c r="D269" s="182">
        <v>335.27</v>
      </c>
      <c r="E269" s="494">
        <v>396.11</v>
      </c>
    </row>
    <row r="270" spans="1:5" x14ac:dyDescent="0.3">
      <c r="A270" s="492" t="s">
        <v>87</v>
      </c>
      <c r="B270" s="493" t="s">
        <v>431</v>
      </c>
      <c r="C270" t="s">
        <v>958</v>
      </c>
      <c r="D270" s="182">
        <v>720.79049999999995</v>
      </c>
      <c r="E270" s="494">
        <v>776.96799999999996</v>
      </c>
    </row>
    <row r="271" spans="1:5" x14ac:dyDescent="0.3">
      <c r="A271" s="492" t="s">
        <v>87</v>
      </c>
      <c r="B271" s="493" t="s">
        <v>432</v>
      </c>
      <c r="C271" t="s">
        <v>959</v>
      </c>
      <c r="D271" s="182">
        <v>748.93949999999995</v>
      </c>
      <c r="E271" s="494">
        <v>937.22149999999999</v>
      </c>
    </row>
    <row r="272" spans="1:5" x14ac:dyDescent="0.3">
      <c r="A272" s="492" t="s">
        <v>87</v>
      </c>
      <c r="B272" s="493" t="s">
        <v>433</v>
      </c>
      <c r="C272" t="s">
        <v>960</v>
      </c>
      <c r="D272" s="182">
        <v>976.76700000000005</v>
      </c>
      <c r="E272" s="494">
        <v>918.62850000000003</v>
      </c>
    </row>
    <row r="273" spans="1:5" x14ac:dyDescent="0.3">
      <c r="A273" s="492" t="s">
        <v>87</v>
      </c>
      <c r="B273" s="493" t="s">
        <v>434</v>
      </c>
      <c r="C273" t="s">
        <v>961</v>
      </c>
      <c r="D273" s="182">
        <v>0.26900000000000002</v>
      </c>
      <c r="E273" s="494">
        <v>0</v>
      </c>
    </row>
    <row r="274" spans="1:5" x14ac:dyDescent="0.3">
      <c r="A274" s="492" t="s">
        <v>87</v>
      </c>
      <c r="B274" s="493" t="s">
        <v>435</v>
      </c>
      <c r="C274" t="s">
        <v>911</v>
      </c>
      <c r="D274" s="182">
        <v>0.997</v>
      </c>
      <c r="E274" s="494">
        <v>0</v>
      </c>
    </row>
    <row r="275" spans="1:5" x14ac:dyDescent="0.3">
      <c r="A275" s="492" t="s">
        <v>87</v>
      </c>
      <c r="B275" s="493" t="s">
        <v>436</v>
      </c>
      <c r="C275" t="s">
        <v>962</v>
      </c>
      <c r="D275" s="182">
        <v>123.096</v>
      </c>
      <c r="E275" s="494">
        <v>4.7729999999999997</v>
      </c>
    </row>
    <row r="276" spans="1:5" x14ac:dyDescent="0.3">
      <c r="A276" s="492" t="s">
        <v>87</v>
      </c>
      <c r="B276" s="493" t="s">
        <v>437</v>
      </c>
      <c r="C276" t="s">
        <v>963</v>
      </c>
      <c r="D276" s="182">
        <v>6.2324999999999999</v>
      </c>
      <c r="E276" s="494">
        <v>0</v>
      </c>
    </row>
    <row r="277" spans="1:5" x14ac:dyDescent="0.3">
      <c r="A277" s="492" t="s">
        <v>87</v>
      </c>
      <c r="B277" s="493" t="s">
        <v>438</v>
      </c>
      <c r="C277" t="s">
        <v>964</v>
      </c>
      <c r="D277" s="182">
        <v>3.7499999999999999E-2</v>
      </c>
      <c r="E277" s="494">
        <v>0</v>
      </c>
    </row>
    <row r="278" spans="1:5" x14ac:dyDescent="0.3">
      <c r="A278" s="492" t="s">
        <v>87</v>
      </c>
      <c r="B278" s="493" t="s">
        <v>965</v>
      </c>
      <c r="C278" t="s">
        <v>966</v>
      </c>
      <c r="D278" s="182">
        <v>0</v>
      </c>
      <c r="E278" s="494">
        <v>3.0000000000000001E-3</v>
      </c>
    </row>
    <row r="279" spans="1:5" x14ac:dyDescent="0.3">
      <c r="A279" s="492" t="s">
        <v>87</v>
      </c>
      <c r="B279" s="493" t="s">
        <v>439</v>
      </c>
      <c r="C279" t="s">
        <v>967</v>
      </c>
      <c r="D279" s="182">
        <v>1950.2339999999999</v>
      </c>
      <c r="E279" s="494">
        <v>2410.9564999999998</v>
      </c>
    </row>
    <row r="280" spans="1:5" x14ac:dyDescent="0.3">
      <c r="A280" s="492" t="s">
        <v>87</v>
      </c>
      <c r="B280" s="493" t="s">
        <v>968</v>
      </c>
      <c r="C280" t="s">
        <v>954</v>
      </c>
      <c r="D280" s="182">
        <v>10.843999999999999</v>
      </c>
      <c r="E280" s="494">
        <v>113.733</v>
      </c>
    </row>
    <row r="281" spans="1:5" x14ac:dyDescent="0.3">
      <c r="A281" s="492" t="s">
        <v>87</v>
      </c>
      <c r="B281" s="493" t="s">
        <v>440</v>
      </c>
      <c r="C281" t="s">
        <v>969</v>
      </c>
      <c r="D281" s="182">
        <v>0</v>
      </c>
      <c r="E281" s="494">
        <v>3.4944999999999999</v>
      </c>
    </row>
    <row r="282" spans="1:5" x14ac:dyDescent="0.3">
      <c r="A282" s="492" t="s">
        <v>87</v>
      </c>
      <c r="B282" s="493" t="s">
        <v>440</v>
      </c>
      <c r="C282" t="s">
        <v>970</v>
      </c>
      <c r="D282" s="182">
        <v>318.03100000000001</v>
      </c>
      <c r="E282" s="494">
        <v>338.46199999999999</v>
      </c>
    </row>
    <row r="283" spans="1:5" x14ac:dyDescent="0.3">
      <c r="A283" s="492" t="s">
        <v>87</v>
      </c>
      <c r="B283" s="493" t="s">
        <v>441</v>
      </c>
      <c r="C283" t="s">
        <v>971</v>
      </c>
      <c r="D283" s="182">
        <v>8.3844999999999992</v>
      </c>
      <c r="E283" s="494">
        <v>5.6580000000000004</v>
      </c>
    </row>
    <row r="284" spans="1:5" x14ac:dyDescent="0.3">
      <c r="A284" s="492" t="s">
        <v>87</v>
      </c>
      <c r="B284" s="493" t="s">
        <v>442</v>
      </c>
      <c r="C284" t="s">
        <v>972</v>
      </c>
      <c r="D284" s="182">
        <v>4.4999999999999998E-2</v>
      </c>
      <c r="E284" s="494">
        <v>0.71250000000000002</v>
      </c>
    </row>
    <row r="285" spans="1:5" x14ac:dyDescent="0.3">
      <c r="A285" s="492" t="s">
        <v>87</v>
      </c>
      <c r="B285" s="493" t="s">
        <v>443</v>
      </c>
      <c r="C285" t="s">
        <v>973</v>
      </c>
      <c r="D285" s="182">
        <v>0</v>
      </c>
      <c r="E285" s="494">
        <v>44.25</v>
      </c>
    </row>
    <row r="286" spans="1:5" x14ac:dyDescent="0.3">
      <c r="A286" s="492" t="s">
        <v>87</v>
      </c>
      <c r="B286" s="493" t="s">
        <v>444</v>
      </c>
      <c r="C286" t="s">
        <v>974</v>
      </c>
      <c r="D286" s="182">
        <v>73.9285</v>
      </c>
      <c r="E286" s="494">
        <v>52.433999999999997</v>
      </c>
    </row>
    <row r="287" spans="1:5" x14ac:dyDescent="0.3">
      <c r="A287" s="492" t="s">
        <v>87</v>
      </c>
      <c r="B287" s="493" t="s">
        <v>445</v>
      </c>
      <c r="C287" t="s">
        <v>975</v>
      </c>
      <c r="D287" s="182">
        <v>0.27600000000000002</v>
      </c>
      <c r="E287" s="494">
        <v>1.236</v>
      </c>
    </row>
    <row r="288" spans="1:5" x14ac:dyDescent="0.3">
      <c r="A288" s="492" t="s">
        <v>87</v>
      </c>
      <c r="B288" s="493" t="s">
        <v>446</v>
      </c>
      <c r="C288" t="s">
        <v>976</v>
      </c>
      <c r="D288" s="182">
        <v>0.24</v>
      </c>
      <c r="E288" s="494">
        <v>0.48</v>
      </c>
    </row>
    <row r="289" spans="1:5" x14ac:dyDescent="0.3">
      <c r="A289" s="492" t="s">
        <v>87</v>
      </c>
      <c r="B289" s="493" t="s">
        <v>447</v>
      </c>
      <c r="C289" t="s">
        <v>977</v>
      </c>
      <c r="D289" s="182">
        <v>0</v>
      </c>
      <c r="E289" s="494">
        <v>97.066000000000003</v>
      </c>
    </row>
    <row r="290" spans="1:5" x14ac:dyDescent="0.3">
      <c r="A290" s="492" t="s">
        <v>87</v>
      </c>
      <c r="B290" s="493" t="s">
        <v>448</v>
      </c>
      <c r="C290" t="s">
        <v>978</v>
      </c>
      <c r="D290" s="182">
        <v>5.6515000000000004</v>
      </c>
      <c r="E290" s="494">
        <v>3.552</v>
      </c>
    </row>
    <row r="291" spans="1:5" x14ac:dyDescent="0.3">
      <c r="A291" s="492" t="s">
        <v>87</v>
      </c>
      <c r="B291" s="493" t="s">
        <v>449</v>
      </c>
      <c r="C291" t="s">
        <v>966</v>
      </c>
      <c r="D291" s="182">
        <v>6.2E-2</v>
      </c>
      <c r="E291" s="494">
        <v>1.95E-2</v>
      </c>
    </row>
    <row r="292" spans="1:5" x14ac:dyDescent="0.3">
      <c r="A292" s="492" t="s">
        <v>87</v>
      </c>
      <c r="B292" s="493" t="s">
        <v>450</v>
      </c>
      <c r="C292" t="s">
        <v>979</v>
      </c>
      <c r="D292" s="182">
        <v>92.304500000000004</v>
      </c>
      <c r="E292" s="494">
        <v>42.908000000000001</v>
      </c>
    </row>
    <row r="293" spans="1:5" x14ac:dyDescent="0.3">
      <c r="A293" s="492" t="s">
        <v>87</v>
      </c>
      <c r="B293" s="493" t="s">
        <v>451</v>
      </c>
      <c r="C293" t="s">
        <v>980</v>
      </c>
      <c r="D293" s="182">
        <v>2.35E-2</v>
      </c>
      <c r="E293" s="494">
        <v>0</v>
      </c>
    </row>
    <row r="294" spans="1:5" x14ac:dyDescent="0.3">
      <c r="A294" s="492" t="s">
        <v>87</v>
      </c>
      <c r="B294" s="493" t="s">
        <v>452</v>
      </c>
      <c r="C294" t="s">
        <v>981</v>
      </c>
      <c r="D294" s="182">
        <v>3.5154999999999998</v>
      </c>
      <c r="E294" s="494">
        <v>4.8685</v>
      </c>
    </row>
    <row r="295" spans="1:5" x14ac:dyDescent="0.3">
      <c r="A295" s="492" t="s">
        <v>87</v>
      </c>
      <c r="B295" s="493" t="s">
        <v>453</v>
      </c>
      <c r="C295" t="s">
        <v>969</v>
      </c>
      <c r="D295" s="182">
        <v>102.098</v>
      </c>
      <c r="E295" s="494">
        <v>13.105499999999999</v>
      </c>
    </row>
    <row r="296" spans="1:5" x14ac:dyDescent="0.3">
      <c r="A296" s="492" t="s">
        <v>87</v>
      </c>
      <c r="B296" s="493" t="s">
        <v>454</v>
      </c>
      <c r="C296" t="s">
        <v>982</v>
      </c>
      <c r="D296" s="182">
        <v>9.4500000000000001E-2</v>
      </c>
      <c r="E296" s="494">
        <v>0</v>
      </c>
    </row>
    <row r="297" spans="1:5" x14ac:dyDescent="0.3">
      <c r="A297" s="492" t="s">
        <v>87</v>
      </c>
      <c r="B297" s="493" t="s">
        <v>455</v>
      </c>
      <c r="C297" t="s">
        <v>983</v>
      </c>
      <c r="D297" s="182">
        <v>497.43349999999998</v>
      </c>
      <c r="E297" s="494">
        <v>436.24400000000003</v>
      </c>
    </row>
    <row r="298" spans="1:5" x14ac:dyDescent="0.3">
      <c r="A298" s="492" t="s">
        <v>87</v>
      </c>
      <c r="B298" s="493" t="s">
        <v>456</v>
      </c>
      <c r="C298" t="s">
        <v>984</v>
      </c>
      <c r="D298" s="182">
        <v>134.96100000000001</v>
      </c>
      <c r="E298" s="494">
        <v>11.936999999999999</v>
      </c>
    </row>
    <row r="299" spans="1:5" x14ac:dyDescent="0.3">
      <c r="A299" s="492" t="s">
        <v>87</v>
      </c>
      <c r="B299" s="493" t="s">
        <v>457</v>
      </c>
      <c r="C299" t="s">
        <v>985</v>
      </c>
      <c r="D299" s="182">
        <v>195.21299999999999</v>
      </c>
      <c r="E299" s="494">
        <v>128.26650000000001</v>
      </c>
    </row>
    <row r="300" spans="1:5" x14ac:dyDescent="0.3">
      <c r="A300" s="492" t="s">
        <v>87</v>
      </c>
      <c r="B300" s="493" t="s">
        <v>457</v>
      </c>
      <c r="C300" t="s">
        <v>986</v>
      </c>
      <c r="D300" s="182">
        <v>1980.8130000000001</v>
      </c>
      <c r="E300" s="494">
        <v>1946.4535000000001</v>
      </c>
    </row>
    <row r="301" spans="1:5" x14ac:dyDescent="0.3">
      <c r="A301" s="492" t="s">
        <v>87</v>
      </c>
      <c r="B301" s="493" t="s">
        <v>458</v>
      </c>
      <c r="C301" t="s">
        <v>987</v>
      </c>
      <c r="D301" s="182">
        <v>1899.7425000000001</v>
      </c>
      <c r="E301" s="494">
        <v>2080.1295</v>
      </c>
    </row>
    <row r="302" spans="1:5" x14ac:dyDescent="0.3">
      <c r="A302" s="492" t="s">
        <v>87</v>
      </c>
      <c r="B302" s="493" t="s">
        <v>459</v>
      </c>
      <c r="C302" t="s">
        <v>988</v>
      </c>
      <c r="D302" s="182">
        <v>0.29299999999999998</v>
      </c>
      <c r="E302" s="494">
        <v>0</v>
      </c>
    </row>
    <row r="303" spans="1:5" x14ac:dyDescent="0.3">
      <c r="A303" s="492" t="s">
        <v>87</v>
      </c>
      <c r="B303" s="493" t="s">
        <v>460</v>
      </c>
      <c r="C303" t="s">
        <v>989</v>
      </c>
      <c r="D303" s="182">
        <v>417.31400000000002</v>
      </c>
      <c r="E303" s="494">
        <v>401.73700000000002</v>
      </c>
    </row>
    <row r="304" spans="1:5" x14ac:dyDescent="0.3">
      <c r="A304" s="492" t="s">
        <v>87</v>
      </c>
      <c r="B304" s="493" t="s">
        <v>460</v>
      </c>
      <c r="C304" t="s">
        <v>990</v>
      </c>
      <c r="D304" s="182">
        <v>513.60299999999995</v>
      </c>
      <c r="E304" s="494">
        <v>446.86399999999998</v>
      </c>
    </row>
    <row r="305" spans="1:5" x14ac:dyDescent="0.3">
      <c r="A305" s="492" t="s">
        <v>87</v>
      </c>
      <c r="B305" s="493" t="s">
        <v>460</v>
      </c>
      <c r="C305" t="s">
        <v>991</v>
      </c>
      <c r="D305" s="182">
        <v>152.14850000000001</v>
      </c>
      <c r="E305" s="494">
        <v>127.2465</v>
      </c>
    </row>
    <row r="306" spans="1:5" x14ac:dyDescent="0.3">
      <c r="A306" s="492" t="s">
        <v>87</v>
      </c>
      <c r="B306" s="493" t="s">
        <v>461</v>
      </c>
      <c r="C306" t="s">
        <v>992</v>
      </c>
      <c r="D306" s="182">
        <v>0.42599999999999999</v>
      </c>
      <c r="E306" s="494">
        <v>9.5</v>
      </c>
    </row>
    <row r="307" spans="1:5" x14ac:dyDescent="0.3">
      <c r="A307" s="492" t="s">
        <v>87</v>
      </c>
      <c r="B307" s="493" t="s">
        <v>461</v>
      </c>
      <c r="C307" t="s">
        <v>993</v>
      </c>
      <c r="D307" s="182">
        <v>186.333</v>
      </c>
      <c r="E307" s="494">
        <v>201.679</v>
      </c>
    </row>
    <row r="308" spans="1:5" x14ac:dyDescent="0.3">
      <c r="A308" s="492" t="s">
        <v>87</v>
      </c>
      <c r="B308" s="493" t="s">
        <v>462</v>
      </c>
      <c r="C308" t="s">
        <v>994</v>
      </c>
      <c r="D308" s="182">
        <v>0</v>
      </c>
      <c r="E308" s="494">
        <v>41.774999999999999</v>
      </c>
    </row>
    <row r="309" spans="1:5" x14ac:dyDescent="0.3">
      <c r="A309" s="492" t="s">
        <v>87</v>
      </c>
      <c r="B309" s="493" t="s">
        <v>462</v>
      </c>
      <c r="C309" t="s">
        <v>995</v>
      </c>
      <c r="D309" s="182">
        <v>1013.4185</v>
      </c>
      <c r="E309" s="494">
        <v>980.42550000000006</v>
      </c>
    </row>
    <row r="310" spans="1:5" x14ac:dyDescent="0.3">
      <c r="A310" s="492" t="s">
        <v>87</v>
      </c>
      <c r="B310" s="493" t="s">
        <v>463</v>
      </c>
      <c r="C310" t="s">
        <v>996</v>
      </c>
      <c r="D310" s="182">
        <v>1098.4175</v>
      </c>
      <c r="E310" s="494">
        <v>1267.2080000000001</v>
      </c>
    </row>
    <row r="311" spans="1:5" x14ac:dyDescent="0.3">
      <c r="A311" s="492" t="s">
        <v>87</v>
      </c>
      <c r="B311" s="493" t="s">
        <v>463</v>
      </c>
      <c r="C311" t="s">
        <v>997</v>
      </c>
      <c r="D311" s="182">
        <v>507.18349999999998</v>
      </c>
      <c r="E311" s="494">
        <v>506.31549999999999</v>
      </c>
    </row>
    <row r="312" spans="1:5" x14ac:dyDescent="0.3">
      <c r="A312" s="492" t="s">
        <v>87</v>
      </c>
      <c r="B312" s="493" t="s">
        <v>463</v>
      </c>
      <c r="C312" t="s">
        <v>998</v>
      </c>
      <c r="D312" s="182">
        <v>233.96700000000001</v>
      </c>
      <c r="E312" s="494">
        <v>310.14150000000001</v>
      </c>
    </row>
    <row r="313" spans="1:5" x14ac:dyDescent="0.3">
      <c r="A313" s="492" t="s">
        <v>87</v>
      </c>
      <c r="B313" s="493" t="s">
        <v>464</v>
      </c>
      <c r="C313" t="s">
        <v>999</v>
      </c>
      <c r="D313" s="182">
        <v>231.14449999999999</v>
      </c>
      <c r="E313" s="494">
        <v>167.8175</v>
      </c>
    </row>
    <row r="314" spans="1:5" x14ac:dyDescent="0.3">
      <c r="A314" s="492" t="s">
        <v>87</v>
      </c>
      <c r="B314" s="493" t="s">
        <v>464</v>
      </c>
      <c r="C314" t="s">
        <v>914</v>
      </c>
      <c r="D314" s="182">
        <v>2.6695000000000002</v>
      </c>
      <c r="E314" s="494">
        <v>2.2244999999999999</v>
      </c>
    </row>
    <row r="315" spans="1:5" x14ac:dyDescent="0.3">
      <c r="A315" s="492" t="s">
        <v>87</v>
      </c>
      <c r="B315" s="493" t="s">
        <v>464</v>
      </c>
      <c r="C315" t="s">
        <v>1000</v>
      </c>
      <c r="D315" s="182">
        <v>370.45600000000002</v>
      </c>
      <c r="E315" s="494">
        <v>453.45299999999997</v>
      </c>
    </row>
    <row r="316" spans="1:5" x14ac:dyDescent="0.3">
      <c r="A316" s="492" t="s">
        <v>87</v>
      </c>
      <c r="B316" s="493" t="s">
        <v>464</v>
      </c>
      <c r="C316" t="s">
        <v>1001</v>
      </c>
      <c r="D316" s="182">
        <v>684.85699999999997</v>
      </c>
      <c r="E316" s="494">
        <v>629.57299999999998</v>
      </c>
    </row>
    <row r="317" spans="1:5" x14ac:dyDescent="0.3">
      <c r="A317" s="492" t="s">
        <v>87</v>
      </c>
      <c r="B317" s="493" t="s">
        <v>465</v>
      </c>
      <c r="C317" t="s">
        <v>1002</v>
      </c>
      <c r="D317" s="182">
        <v>366.09699999999998</v>
      </c>
      <c r="E317" s="494">
        <v>547.89300000000003</v>
      </c>
    </row>
    <row r="318" spans="1:5" x14ac:dyDescent="0.3">
      <c r="A318" s="492" t="s">
        <v>87</v>
      </c>
      <c r="B318" s="493" t="s">
        <v>466</v>
      </c>
      <c r="C318" t="s">
        <v>1003</v>
      </c>
      <c r="D318" s="182">
        <v>6.0000000000000001E-3</v>
      </c>
      <c r="E318" s="494">
        <v>0</v>
      </c>
    </row>
    <row r="319" spans="1:5" x14ac:dyDescent="0.3">
      <c r="A319" s="492" t="s">
        <v>87</v>
      </c>
      <c r="B319" s="493" t="s">
        <v>467</v>
      </c>
      <c r="C319" t="s">
        <v>1004</v>
      </c>
      <c r="D319" s="182">
        <v>493.77300000000002</v>
      </c>
      <c r="E319" s="494">
        <v>516.04949999999997</v>
      </c>
    </row>
    <row r="320" spans="1:5" x14ac:dyDescent="0.3">
      <c r="A320" s="492" t="s">
        <v>87</v>
      </c>
      <c r="B320" s="493" t="s">
        <v>468</v>
      </c>
      <c r="C320" t="s">
        <v>1005</v>
      </c>
      <c r="D320" s="182">
        <v>1.2370000000000001</v>
      </c>
      <c r="E320" s="494">
        <v>1.64</v>
      </c>
    </row>
    <row r="321" spans="1:5" x14ac:dyDescent="0.3">
      <c r="A321" s="492" t="s">
        <v>87</v>
      </c>
      <c r="B321" s="493" t="s">
        <v>469</v>
      </c>
      <c r="C321" t="s">
        <v>1006</v>
      </c>
      <c r="D321" s="182">
        <v>107.715</v>
      </c>
      <c r="E321" s="494">
        <v>103.806</v>
      </c>
    </row>
    <row r="322" spans="1:5" x14ac:dyDescent="0.3">
      <c r="A322" s="492" t="s">
        <v>87</v>
      </c>
      <c r="B322" s="493" t="s">
        <v>470</v>
      </c>
      <c r="C322" t="s">
        <v>1007</v>
      </c>
      <c r="D322" s="182">
        <v>0.23</v>
      </c>
      <c r="E322" s="494">
        <v>0.22</v>
      </c>
    </row>
    <row r="323" spans="1:5" x14ac:dyDescent="0.3">
      <c r="A323" s="492" t="s">
        <v>87</v>
      </c>
      <c r="B323" s="493" t="s">
        <v>471</v>
      </c>
      <c r="C323" t="s">
        <v>1008</v>
      </c>
      <c r="D323" s="182">
        <v>2.79</v>
      </c>
      <c r="E323" s="494">
        <v>0.12</v>
      </c>
    </row>
    <row r="324" spans="1:5" x14ac:dyDescent="0.3">
      <c r="A324" s="492" t="s">
        <v>87</v>
      </c>
      <c r="B324" s="493" t="s">
        <v>472</v>
      </c>
      <c r="C324" t="s">
        <v>1009</v>
      </c>
      <c r="D324" s="182">
        <v>3.3000000000000002E-2</v>
      </c>
      <c r="E324" s="494">
        <v>0.26700000000000002</v>
      </c>
    </row>
    <row r="325" spans="1:5" x14ac:dyDescent="0.3">
      <c r="A325" s="492" t="s">
        <v>87</v>
      </c>
      <c r="B325" s="493" t="s">
        <v>473</v>
      </c>
      <c r="C325" t="s">
        <v>972</v>
      </c>
      <c r="D325" s="182">
        <v>0.372</v>
      </c>
      <c r="E325" s="494">
        <v>9.2499999999999999E-2</v>
      </c>
    </row>
    <row r="326" spans="1:5" x14ac:dyDescent="0.3">
      <c r="A326" s="492" t="s">
        <v>87</v>
      </c>
      <c r="B326" s="493" t="s">
        <v>474</v>
      </c>
      <c r="C326" t="s">
        <v>1010</v>
      </c>
      <c r="D326" s="182">
        <v>38.838500000000003</v>
      </c>
      <c r="E326" s="494">
        <v>0</v>
      </c>
    </row>
    <row r="327" spans="1:5" x14ac:dyDescent="0.3">
      <c r="A327" s="492" t="s">
        <v>87</v>
      </c>
      <c r="B327" s="493" t="s">
        <v>475</v>
      </c>
      <c r="C327" t="s">
        <v>1011</v>
      </c>
      <c r="D327" s="182">
        <v>1.6635</v>
      </c>
      <c r="E327" s="494">
        <v>1.597</v>
      </c>
    </row>
    <row r="328" spans="1:5" x14ac:dyDescent="0.3">
      <c r="A328" s="492" t="s">
        <v>87</v>
      </c>
      <c r="B328" s="493" t="s">
        <v>476</v>
      </c>
      <c r="C328" t="s">
        <v>1012</v>
      </c>
      <c r="D328" s="182">
        <v>1534.2345</v>
      </c>
      <c r="E328" s="494">
        <v>1418.8454999999999</v>
      </c>
    </row>
    <row r="329" spans="1:5" x14ac:dyDescent="0.3">
      <c r="A329" s="492" t="s">
        <v>87</v>
      </c>
      <c r="B329" s="493" t="s">
        <v>477</v>
      </c>
      <c r="C329" t="s">
        <v>1013</v>
      </c>
      <c r="D329" s="182">
        <v>10.833</v>
      </c>
      <c r="E329" s="494">
        <v>8.9629999999999992</v>
      </c>
    </row>
    <row r="330" spans="1:5" x14ac:dyDescent="0.3">
      <c r="A330" s="492" t="s">
        <v>87</v>
      </c>
      <c r="B330" s="493" t="s">
        <v>478</v>
      </c>
      <c r="C330" t="s">
        <v>920</v>
      </c>
      <c r="D330" s="182">
        <v>0.95</v>
      </c>
      <c r="E330" s="494">
        <v>0</v>
      </c>
    </row>
    <row r="331" spans="1:5" x14ac:dyDescent="0.3">
      <c r="A331" s="492" t="s">
        <v>87</v>
      </c>
      <c r="B331" s="493" t="s">
        <v>479</v>
      </c>
      <c r="C331" t="s">
        <v>1014</v>
      </c>
      <c r="D331" s="182">
        <v>3.823</v>
      </c>
      <c r="E331" s="494">
        <v>1.79</v>
      </c>
    </row>
    <row r="332" spans="1:5" x14ac:dyDescent="0.3">
      <c r="A332" s="492" t="s">
        <v>87</v>
      </c>
      <c r="B332" s="493" t="s">
        <v>480</v>
      </c>
      <c r="C332" t="s">
        <v>1015</v>
      </c>
      <c r="D332" s="182">
        <v>1.3895</v>
      </c>
      <c r="E332" s="494">
        <v>0.76800000000000002</v>
      </c>
    </row>
    <row r="333" spans="1:5" x14ac:dyDescent="0.3">
      <c r="A333" s="492" t="s">
        <v>87</v>
      </c>
      <c r="B333" s="493" t="s">
        <v>481</v>
      </c>
      <c r="C333" t="s">
        <v>1016</v>
      </c>
      <c r="D333" s="182">
        <v>2.3650000000000002</v>
      </c>
      <c r="E333" s="494">
        <v>0</v>
      </c>
    </row>
    <row r="334" spans="1:5" x14ac:dyDescent="0.3">
      <c r="A334" s="492" t="s">
        <v>87</v>
      </c>
      <c r="B334" s="493" t="s">
        <v>482</v>
      </c>
      <c r="C334" t="s">
        <v>1017</v>
      </c>
      <c r="D334" s="182">
        <v>2.3239999999999998</v>
      </c>
      <c r="E334" s="494">
        <v>3.0139999999999998</v>
      </c>
    </row>
    <row r="335" spans="1:5" x14ac:dyDescent="0.3">
      <c r="A335" s="492" t="s">
        <v>87</v>
      </c>
      <c r="B335" s="493" t="s">
        <v>483</v>
      </c>
      <c r="C335" t="s">
        <v>1018</v>
      </c>
      <c r="D335" s="182">
        <v>1.7535000000000001</v>
      </c>
      <c r="E335" s="494">
        <v>49.140500000000003</v>
      </c>
    </row>
    <row r="336" spans="1:5" x14ac:dyDescent="0.3">
      <c r="A336" s="492" t="s">
        <v>87</v>
      </c>
      <c r="B336" s="493" t="s">
        <v>483</v>
      </c>
      <c r="C336" t="s">
        <v>1019</v>
      </c>
      <c r="D336" s="182">
        <v>319.60449999999997</v>
      </c>
      <c r="E336" s="494">
        <v>267.42200000000003</v>
      </c>
    </row>
    <row r="337" spans="1:16" x14ac:dyDescent="0.3">
      <c r="A337" s="492" t="s">
        <v>87</v>
      </c>
      <c r="B337" s="493" t="s">
        <v>483</v>
      </c>
      <c r="C337" t="s">
        <v>1020</v>
      </c>
      <c r="D337" s="182">
        <v>121.04</v>
      </c>
      <c r="E337" s="494">
        <v>121.2495</v>
      </c>
    </row>
    <row r="338" spans="1:16" x14ac:dyDescent="0.3">
      <c r="A338" s="492" t="s">
        <v>87</v>
      </c>
      <c r="B338" s="493" t="s">
        <v>484</v>
      </c>
      <c r="C338" t="s">
        <v>1021</v>
      </c>
      <c r="D338" s="182">
        <v>141.4255</v>
      </c>
      <c r="E338" s="494">
        <v>65.706000000000003</v>
      </c>
    </row>
    <row r="339" spans="1:16" x14ac:dyDescent="0.3">
      <c r="A339" s="492" t="s">
        <v>87</v>
      </c>
      <c r="B339" s="493" t="s">
        <v>485</v>
      </c>
      <c r="C339" t="s">
        <v>950</v>
      </c>
      <c r="D339" s="182">
        <v>670.25800000000004</v>
      </c>
      <c r="E339" s="494">
        <v>0</v>
      </c>
    </row>
    <row r="340" spans="1:16" x14ac:dyDescent="0.3">
      <c r="A340" s="492" t="s">
        <v>87</v>
      </c>
      <c r="B340" s="493" t="s">
        <v>486</v>
      </c>
      <c r="C340" t="s">
        <v>1022</v>
      </c>
      <c r="D340" s="182">
        <v>1151.376</v>
      </c>
      <c r="E340" s="494">
        <v>1189.5820000000001</v>
      </c>
    </row>
    <row r="341" spans="1:16" x14ac:dyDescent="0.3">
      <c r="A341" s="492" t="s">
        <v>87</v>
      </c>
      <c r="B341" s="493" t="s">
        <v>487</v>
      </c>
      <c r="C341" t="s">
        <v>1023</v>
      </c>
      <c r="D341" s="182">
        <v>134.852</v>
      </c>
      <c r="E341" s="494">
        <v>3.3919999999999999</v>
      </c>
    </row>
    <row r="342" spans="1:16" x14ac:dyDescent="0.3">
      <c r="A342" s="492" t="s">
        <v>87</v>
      </c>
      <c r="B342" s="493" t="s">
        <v>1024</v>
      </c>
      <c r="C342" t="s">
        <v>1025</v>
      </c>
      <c r="D342" s="182">
        <v>0</v>
      </c>
      <c r="E342" s="494">
        <v>1.2500000000000001E-2</v>
      </c>
    </row>
    <row r="343" spans="1:16" x14ac:dyDescent="0.3">
      <c r="A343" s="492" t="s">
        <v>87</v>
      </c>
      <c r="B343" s="493" t="s">
        <v>488</v>
      </c>
      <c r="C343" t="s">
        <v>1026</v>
      </c>
      <c r="D343" s="182">
        <v>0.01</v>
      </c>
      <c r="E343" s="494">
        <v>0</v>
      </c>
    </row>
    <row r="344" spans="1:16" x14ac:dyDescent="0.3">
      <c r="A344" s="492" t="s">
        <v>87</v>
      </c>
      <c r="B344" s="493" t="s">
        <v>488</v>
      </c>
      <c r="C344" t="s">
        <v>1027</v>
      </c>
      <c r="D344" s="182">
        <v>83.545500000000004</v>
      </c>
      <c r="E344" s="494">
        <v>88.215000000000003</v>
      </c>
    </row>
    <row r="345" spans="1:16" x14ac:dyDescent="0.3">
      <c r="A345" s="492" t="s">
        <v>87</v>
      </c>
      <c r="B345" s="493" t="s">
        <v>488</v>
      </c>
      <c r="C345" t="s">
        <v>1028</v>
      </c>
      <c r="D345" s="182">
        <v>83.084500000000006</v>
      </c>
      <c r="E345" s="494">
        <v>89.534000000000006</v>
      </c>
    </row>
    <row r="346" spans="1:16" x14ac:dyDescent="0.3">
      <c r="A346" s="492" t="s">
        <v>87</v>
      </c>
      <c r="B346" s="493" t="s">
        <v>488</v>
      </c>
      <c r="C346" t="s">
        <v>1007</v>
      </c>
      <c r="D346" s="182">
        <v>3.806</v>
      </c>
      <c r="E346" s="494">
        <v>0</v>
      </c>
    </row>
    <row r="347" spans="1:16" x14ac:dyDescent="0.3">
      <c r="A347" s="492" t="s">
        <v>87</v>
      </c>
      <c r="B347" s="493" t="s">
        <v>489</v>
      </c>
      <c r="C347" t="s">
        <v>1029</v>
      </c>
      <c r="D347" s="182">
        <v>0.18</v>
      </c>
      <c r="E347" s="494">
        <v>0</v>
      </c>
    </row>
    <row r="348" spans="1:16" x14ac:dyDescent="0.3">
      <c r="A348" s="492" t="s">
        <v>87</v>
      </c>
      <c r="B348" s="493" t="s">
        <v>490</v>
      </c>
      <c r="C348" t="s">
        <v>1030</v>
      </c>
      <c r="D348" s="182">
        <v>1.105</v>
      </c>
      <c r="E348" s="494">
        <v>0.11</v>
      </c>
      <c r="H348" s="4"/>
      <c r="I348" s="4"/>
      <c r="J348" s="4"/>
      <c r="K348" s="4"/>
      <c r="L348" s="4"/>
      <c r="M348" s="477"/>
      <c r="N348" s="477"/>
      <c r="O348" s="477"/>
      <c r="P348" s="477"/>
    </row>
    <row r="349" spans="1:16" x14ac:dyDescent="0.3">
      <c r="A349" s="492" t="s">
        <v>87</v>
      </c>
      <c r="B349" s="493" t="s">
        <v>491</v>
      </c>
      <c r="C349" t="s">
        <v>1031</v>
      </c>
      <c r="D349" s="182">
        <v>3.5999999999999997E-2</v>
      </c>
      <c r="E349" s="494">
        <v>0</v>
      </c>
      <c r="I349" s="4"/>
      <c r="J349" s="4"/>
      <c r="K349" s="4"/>
      <c r="L349" s="4"/>
      <c r="M349" s="477"/>
      <c r="N349" s="477"/>
      <c r="O349" s="477"/>
      <c r="P349" s="477"/>
    </row>
    <row r="350" spans="1:16" x14ac:dyDescent="0.3">
      <c r="A350" s="492" t="s">
        <v>87</v>
      </c>
      <c r="B350" s="493" t="s">
        <v>492</v>
      </c>
      <c r="C350" t="s">
        <v>1032</v>
      </c>
      <c r="D350" s="182">
        <v>143.7825</v>
      </c>
      <c r="E350" s="494">
        <v>159.72499999999999</v>
      </c>
      <c r="M350" s="15"/>
      <c r="N350" s="15"/>
      <c r="O350" s="15"/>
      <c r="P350" s="15"/>
    </row>
    <row r="351" spans="1:16" x14ac:dyDescent="0.3">
      <c r="A351" s="492" t="s">
        <v>87</v>
      </c>
      <c r="B351" s="493" t="s">
        <v>492</v>
      </c>
      <c r="C351" t="s">
        <v>1033</v>
      </c>
      <c r="D351" s="182">
        <v>77.114000000000004</v>
      </c>
      <c r="E351" s="494">
        <v>3.2639999999999998</v>
      </c>
      <c r="M351" s="15"/>
      <c r="N351" s="15"/>
      <c r="O351" s="15"/>
      <c r="P351" s="15"/>
    </row>
    <row r="352" spans="1:16" x14ac:dyDescent="0.3">
      <c r="A352" s="492" t="s">
        <v>87</v>
      </c>
      <c r="B352" s="493" t="s">
        <v>493</v>
      </c>
      <c r="C352" t="s">
        <v>932</v>
      </c>
      <c r="D352" s="182">
        <v>0.27950000000000003</v>
      </c>
      <c r="E352" s="494">
        <v>0.54500000000000004</v>
      </c>
      <c r="M352" s="15"/>
      <c r="N352" s="15"/>
      <c r="O352" s="15"/>
      <c r="P352" s="15"/>
    </row>
    <row r="353" spans="1:16" x14ac:dyDescent="0.3">
      <c r="A353" s="492" t="s">
        <v>87</v>
      </c>
      <c r="B353" s="493" t="s">
        <v>494</v>
      </c>
      <c r="C353" t="s">
        <v>1034</v>
      </c>
      <c r="D353" s="182">
        <v>2.3384999999999998</v>
      </c>
      <c r="E353" s="494">
        <v>0.622</v>
      </c>
      <c r="M353" s="15"/>
      <c r="N353" s="15"/>
      <c r="O353" s="15"/>
      <c r="P353" s="15"/>
    </row>
    <row r="354" spans="1:16" x14ac:dyDescent="0.3">
      <c r="A354" s="664" t="s">
        <v>495</v>
      </c>
      <c r="B354" s="665"/>
      <c r="C354" s="666"/>
      <c r="D354" s="495">
        <v>30074.344499999999</v>
      </c>
      <c r="E354" s="496">
        <v>31883.848999999998</v>
      </c>
      <c r="M354" s="15"/>
      <c r="N354" s="15"/>
      <c r="O354" s="15"/>
      <c r="P354" s="15"/>
    </row>
    <row r="355" spans="1:16" x14ac:dyDescent="0.3">
      <c r="A355" s="492" t="s">
        <v>496</v>
      </c>
      <c r="B355" s="493" t="s">
        <v>497</v>
      </c>
      <c r="C355" t="s">
        <v>1035</v>
      </c>
      <c r="D355" s="182">
        <v>0.39550000000000002</v>
      </c>
      <c r="E355" s="494">
        <v>0.38650000000000001</v>
      </c>
      <c r="M355" s="15"/>
      <c r="N355" s="15"/>
      <c r="O355" s="15"/>
      <c r="P355" s="15"/>
    </row>
    <row r="356" spans="1:16" x14ac:dyDescent="0.3">
      <c r="A356" s="492" t="s">
        <v>496</v>
      </c>
      <c r="B356" s="493" t="s">
        <v>498</v>
      </c>
      <c r="C356" t="s">
        <v>1036</v>
      </c>
      <c r="D356" s="182">
        <v>3.3694999999999999</v>
      </c>
      <c r="E356" s="494">
        <v>4.4634999999999998</v>
      </c>
      <c r="M356" s="15"/>
      <c r="N356" s="15"/>
      <c r="O356" s="15"/>
      <c r="P356" s="15"/>
    </row>
    <row r="357" spans="1:16" x14ac:dyDescent="0.3">
      <c r="A357" s="492" t="s">
        <v>496</v>
      </c>
      <c r="B357" s="493" t="s">
        <v>499</v>
      </c>
      <c r="C357" t="s">
        <v>1037</v>
      </c>
      <c r="D357" s="182">
        <v>0.6845</v>
      </c>
      <c r="E357" s="494">
        <v>0.65</v>
      </c>
      <c r="M357" s="15"/>
      <c r="N357" s="15"/>
      <c r="O357" s="15"/>
      <c r="P357" s="15"/>
    </row>
    <row r="358" spans="1:16" x14ac:dyDescent="0.3">
      <c r="A358" s="492" t="s">
        <v>496</v>
      </c>
      <c r="B358" s="493" t="s">
        <v>499</v>
      </c>
      <c r="C358" t="s">
        <v>1038</v>
      </c>
      <c r="D358" s="182">
        <v>0.70399999999999996</v>
      </c>
      <c r="E358" s="494">
        <v>0.78449999999999998</v>
      </c>
      <c r="M358" s="15"/>
      <c r="N358" s="15"/>
      <c r="O358" s="15"/>
      <c r="P358" s="15"/>
    </row>
    <row r="359" spans="1:16" x14ac:dyDescent="0.3">
      <c r="A359" s="492" t="s">
        <v>496</v>
      </c>
      <c r="B359" s="493" t="s">
        <v>499</v>
      </c>
      <c r="C359" t="s">
        <v>1039</v>
      </c>
      <c r="D359" s="182">
        <v>0.86750000000000005</v>
      </c>
      <c r="E359" s="494">
        <v>0.79149999999999998</v>
      </c>
      <c r="M359" s="15"/>
      <c r="N359" s="15"/>
      <c r="O359" s="15"/>
      <c r="P359" s="15"/>
    </row>
    <row r="360" spans="1:16" x14ac:dyDescent="0.3">
      <c r="A360" s="492" t="s">
        <v>496</v>
      </c>
      <c r="B360" s="493" t="s">
        <v>500</v>
      </c>
      <c r="C360" t="s">
        <v>1040</v>
      </c>
      <c r="D360" s="182">
        <v>3.4409999999999998</v>
      </c>
      <c r="E360" s="494">
        <v>4.3259999999999996</v>
      </c>
      <c r="M360" s="15"/>
      <c r="N360" s="15"/>
      <c r="O360" s="15"/>
      <c r="P360" s="15"/>
    </row>
    <row r="361" spans="1:16" x14ac:dyDescent="0.3">
      <c r="A361" s="492" t="s">
        <v>496</v>
      </c>
      <c r="B361" s="493" t="s">
        <v>501</v>
      </c>
      <c r="C361" t="s">
        <v>1041</v>
      </c>
      <c r="D361" s="182">
        <v>0.16200000000000001</v>
      </c>
      <c r="E361" s="494">
        <v>6.7500000000000004E-2</v>
      </c>
      <c r="M361" s="15"/>
      <c r="N361" s="15"/>
      <c r="O361" s="15"/>
      <c r="P361" s="15"/>
    </row>
    <row r="362" spans="1:16" x14ac:dyDescent="0.3">
      <c r="A362" s="492" t="s">
        <v>496</v>
      </c>
      <c r="B362" s="493" t="s">
        <v>502</v>
      </c>
      <c r="C362" t="s">
        <v>1042</v>
      </c>
      <c r="D362" s="182">
        <v>0.1915</v>
      </c>
      <c r="E362" s="494">
        <v>0.107</v>
      </c>
      <c r="M362" s="15"/>
      <c r="N362" s="15"/>
      <c r="O362" s="15"/>
      <c r="P362" s="15"/>
    </row>
    <row r="363" spans="1:16" x14ac:dyDescent="0.3">
      <c r="A363" s="492" t="s">
        <v>496</v>
      </c>
      <c r="B363" s="493" t="s">
        <v>503</v>
      </c>
      <c r="C363" t="s">
        <v>1043</v>
      </c>
      <c r="D363" s="182">
        <v>0.25800000000000001</v>
      </c>
      <c r="E363" s="494">
        <v>0.33500000000000002</v>
      </c>
      <c r="M363" s="15"/>
      <c r="N363" s="15"/>
      <c r="O363" s="15"/>
      <c r="P363" s="15"/>
    </row>
    <row r="364" spans="1:16" x14ac:dyDescent="0.3">
      <c r="A364" s="492" t="s">
        <v>496</v>
      </c>
      <c r="B364" s="493" t="s">
        <v>504</v>
      </c>
      <c r="C364" t="s">
        <v>1044</v>
      </c>
      <c r="D364" s="182">
        <v>0.99350000000000005</v>
      </c>
      <c r="E364" s="494">
        <v>1.5649999999999999</v>
      </c>
      <c r="M364" s="15"/>
      <c r="N364" s="15"/>
      <c r="O364" s="15"/>
      <c r="P364" s="15"/>
    </row>
    <row r="365" spans="1:16" x14ac:dyDescent="0.3">
      <c r="A365" s="492" t="s">
        <v>496</v>
      </c>
      <c r="B365" s="493" t="s">
        <v>505</v>
      </c>
      <c r="C365" t="s">
        <v>1045</v>
      </c>
      <c r="D365" s="182">
        <v>7.2549999999999999</v>
      </c>
      <c r="E365" s="494">
        <v>9.4504999999999999</v>
      </c>
      <c r="M365" s="15"/>
      <c r="N365" s="15"/>
      <c r="O365" s="15"/>
      <c r="P365" s="15"/>
    </row>
    <row r="366" spans="1:16" x14ac:dyDescent="0.3">
      <c r="A366" s="664" t="s">
        <v>506</v>
      </c>
      <c r="B366" s="665"/>
      <c r="C366" s="666"/>
      <c r="D366" s="495">
        <v>18.321999999999999</v>
      </c>
      <c r="E366" s="496">
        <v>22.927</v>
      </c>
      <c r="M366" s="15"/>
      <c r="N366" s="15"/>
      <c r="O366" s="15"/>
      <c r="P366" s="15"/>
    </row>
    <row r="367" spans="1:16" x14ac:dyDescent="0.3">
      <c r="A367" s="492" t="s">
        <v>88</v>
      </c>
      <c r="B367" s="493" t="s">
        <v>1046</v>
      </c>
      <c r="C367" t="s">
        <v>1047</v>
      </c>
      <c r="D367" s="182">
        <v>0</v>
      </c>
      <c r="E367" s="494">
        <v>11.436</v>
      </c>
      <c r="M367" s="15"/>
      <c r="N367" s="15"/>
      <c r="O367" s="15"/>
      <c r="P367" s="15"/>
    </row>
    <row r="368" spans="1:16" x14ac:dyDescent="0.3">
      <c r="A368" s="492" t="s">
        <v>88</v>
      </c>
      <c r="B368" s="493" t="s">
        <v>507</v>
      </c>
      <c r="C368" t="s">
        <v>1048</v>
      </c>
      <c r="D368" s="182">
        <v>35.619</v>
      </c>
      <c r="E368" s="494">
        <v>41.972000000000001</v>
      </c>
      <c r="M368" s="15"/>
      <c r="N368" s="15"/>
      <c r="O368" s="15"/>
      <c r="P368" s="15"/>
    </row>
    <row r="369" spans="1:16" x14ac:dyDescent="0.3">
      <c r="A369" s="492" t="s">
        <v>88</v>
      </c>
      <c r="B369" s="493" t="s">
        <v>507</v>
      </c>
      <c r="C369" t="s">
        <v>1049</v>
      </c>
      <c r="D369" s="182">
        <v>131.5675</v>
      </c>
      <c r="E369" s="494">
        <v>137.67850000000001</v>
      </c>
      <c r="M369" s="15"/>
      <c r="N369" s="15"/>
      <c r="O369" s="15"/>
      <c r="P369" s="15"/>
    </row>
    <row r="370" spans="1:16" x14ac:dyDescent="0.3">
      <c r="A370" s="492" t="s">
        <v>88</v>
      </c>
      <c r="B370" s="493" t="s">
        <v>507</v>
      </c>
      <c r="C370" t="s">
        <v>1050</v>
      </c>
      <c r="D370" s="182">
        <v>3.4929999999999999</v>
      </c>
      <c r="E370" s="494">
        <v>0.11700000000000001</v>
      </c>
      <c r="M370" s="15"/>
      <c r="N370" s="15"/>
      <c r="O370" s="15"/>
      <c r="P370" s="15"/>
    </row>
    <row r="371" spans="1:16" x14ac:dyDescent="0.3">
      <c r="A371" s="492" t="s">
        <v>88</v>
      </c>
      <c r="B371" s="493" t="s">
        <v>507</v>
      </c>
      <c r="C371" t="s">
        <v>1051</v>
      </c>
      <c r="D371" s="182">
        <v>174.61349999999999</v>
      </c>
      <c r="E371" s="494">
        <v>161.31700000000001</v>
      </c>
      <c r="M371" s="15"/>
      <c r="N371" s="15"/>
      <c r="O371" s="15"/>
      <c r="P371" s="15"/>
    </row>
    <row r="372" spans="1:16" x14ac:dyDescent="0.3">
      <c r="A372" s="492" t="s">
        <v>88</v>
      </c>
      <c r="B372" s="493" t="s">
        <v>507</v>
      </c>
      <c r="C372" t="s">
        <v>1052</v>
      </c>
      <c r="D372" s="182">
        <v>210.71600000000001</v>
      </c>
      <c r="E372" s="494">
        <v>253.11349999999999</v>
      </c>
      <c r="M372" s="15"/>
      <c r="N372" s="15"/>
      <c r="O372" s="15"/>
      <c r="P372" s="15"/>
    </row>
    <row r="373" spans="1:16" x14ac:dyDescent="0.3">
      <c r="A373" s="492" t="s">
        <v>88</v>
      </c>
      <c r="B373" s="493" t="s">
        <v>508</v>
      </c>
      <c r="C373" t="s">
        <v>1053</v>
      </c>
      <c r="D373" s="182">
        <v>20.033999999999999</v>
      </c>
      <c r="E373" s="494">
        <v>54.837000000000003</v>
      </c>
      <c r="M373" s="15"/>
      <c r="N373" s="15"/>
      <c r="O373" s="15"/>
      <c r="P373" s="15"/>
    </row>
    <row r="374" spans="1:16" x14ac:dyDescent="0.3">
      <c r="A374" s="492" t="s">
        <v>88</v>
      </c>
      <c r="B374" s="493" t="s">
        <v>508</v>
      </c>
      <c r="C374" t="s">
        <v>1054</v>
      </c>
      <c r="D374" s="182">
        <v>1705.2159999999999</v>
      </c>
      <c r="E374" s="494">
        <v>1677.646</v>
      </c>
      <c r="M374" s="15"/>
      <c r="N374" s="15"/>
      <c r="O374" s="15"/>
      <c r="P374" s="15"/>
    </row>
    <row r="375" spans="1:16" x14ac:dyDescent="0.3">
      <c r="A375" s="492" t="s">
        <v>88</v>
      </c>
      <c r="B375" s="493" t="s">
        <v>508</v>
      </c>
      <c r="C375" t="s">
        <v>1055</v>
      </c>
      <c r="D375" s="182">
        <v>1253.7860000000001</v>
      </c>
      <c r="E375" s="494">
        <v>1236.1320000000001</v>
      </c>
      <c r="M375" s="15"/>
      <c r="N375" s="15"/>
      <c r="O375" s="15"/>
      <c r="P375" s="15"/>
    </row>
    <row r="376" spans="1:16" x14ac:dyDescent="0.3">
      <c r="A376" s="492" t="s">
        <v>88</v>
      </c>
      <c r="B376" s="493" t="s">
        <v>508</v>
      </c>
      <c r="C376" t="s">
        <v>1056</v>
      </c>
      <c r="D376" s="182">
        <v>3997.4775</v>
      </c>
      <c r="E376" s="494">
        <v>4348.8834999999999</v>
      </c>
      <c r="M376" s="15"/>
      <c r="N376" s="15"/>
      <c r="O376" s="15"/>
      <c r="P376" s="15"/>
    </row>
    <row r="377" spans="1:16" x14ac:dyDescent="0.3">
      <c r="A377" s="492" t="s">
        <v>88</v>
      </c>
      <c r="B377" s="493" t="s">
        <v>508</v>
      </c>
      <c r="C377" t="s">
        <v>1057</v>
      </c>
      <c r="D377" s="182">
        <v>2838.6509999999998</v>
      </c>
      <c r="E377" s="494">
        <v>3086.0720000000001</v>
      </c>
      <c r="I377" s="4"/>
      <c r="J377" s="4"/>
      <c r="L377" s="4"/>
      <c r="M377" s="477"/>
      <c r="N377" s="477"/>
      <c r="O377" s="477"/>
      <c r="P377" s="477"/>
    </row>
    <row r="378" spans="1:16" x14ac:dyDescent="0.3">
      <c r="A378" s="492" t="s">
        <v>88</v>
      </c>
      <c r="B378" s="493" t="s">
        <v>508</v>
      </c>
      <c r="C378" t="s">
        <v>1058</v>
      </c>
      <c r="D378" s="182">
        <v>2385.5915</v>
      </c>
      <c r="E378" s="494">
        <v>2334.8180000000002</v>
      </c>
      <c r="M378" s="15"/>
      <c r="N378" s="15"/>
      <c r="O378" s="15"/>
      <c r="P378" s="15"/>
    </row>
    <row r="379" spans="1:16" x14ac:dyDescent="0.3">
      <c r="A379" s="492" t="s">
        <v>88</v>
      </c>
      <c r="B379" s="493" t="s">
        <v>509</v>
      </c>
      <c r="C379" t="s">
        <v>1059</v>
      </c>
      <c r="D379" s="182">
        <v>3561.7685000000001</v>
      </c>
      <c r="E379" s="494">
        <v>3701.6770000000001</v>
      </c>
      <c r="I379" s="4"/>
      <c r="J379" s="4"/>
      <c r="L379" s="4"/>
      <c r="M379" s="477"/>
      <c r="N379" s="477"/>
      <c r="O379" s="477"/>
      <c r="P379" s="477"/>
    </row>
    <row r="380" spans="1:16" x14ac:dyDescent="0.3">
      <c r="A380" s="492" t="s">
        <v>88</v>
      </c>
      <c r="B380" s="493" t="s">
        <v>510</v>
      </c>
      <c r="C380" t="s">
        <v>1060</v>
      </c>
      <c r="D380" s="182">
        <v>2.58</v>
      </c>
      <c r="E380" s="494">
        <v>0.38100000000000001</v>
      </c>
      <c r="M380" s="15"/>
      <c r="N380" s="15"/>
      <c r="O380" s="15"/>
      <c r="P380" s="15"/>
    </row>
    <row r="381" spans="1:16" x14ac:dyDescent="0.3">
      <c r="A381" s="492" t="s">
        <v>88</v>
      </c>
      <c r="B381" s="493" t="s">
        <v>511</v>
      </c>
      <c r="C381" t="s">
        <v>1061</v>
      </c>
      <c r="D381" s="182">
        <v>1.3935</v>
      </c>
      <c r="E381" s="494">
        <v>1.397</v>
      </c>
      <c r="M381" s="15"/>
      <c r="N381" s="15"/>
      <c r="O381" s="15"/>
      <c r="P381" s="15"/>
    </row>
    <row r="382" spans="1:16" x14ac:dyDescent="0.3">
      <c r="A382" s="492" t="s">
        <v>88</v>
      </c>
      <c r="B382" s="493" t="s">
        <v>512</v>
      </c>
      <c r="C382" t="s">
        <v>1062</v>
      </c>
      <c r="D382" s="182">
        <v>139.66749999999999</v>
      </c>
      <c r="E382" s="494">
        <v>164.66249999999999</v>
      </c>
      <c r="I382" s="4"/>
      <c r="J382" s="4"/>
      <c r="L382" s="4"/>
      <c r="M382" s="477"/>
      <c r="N382" s="477"/>
      <c r="O382" s="477"/>
      <c r="P382" s="477"/>
    </row>
    <row r="383" spans="1:16" x14ac:dyDescent="0.3">
      <c r="A383" s="492" t="s">
        <v>88</v>
      </c>
      <c r="B383" s="493" t="s">
        <v>512</v>
      </c>
      <c r="C383" t="s">
        <v>1063</v>
      </c>
      <c r="D383" s="182">
        <v>6.0000000000000001E-3</v>
      </c>
      <c r="E383" s="494">
        <v>0.154</v>
      </c>
      <c r="M383" s="15"/>
      <c r="N383" s="15"/>
      <c r="O383" s="15"/>
      <c r="P383" s="15"/>
    </row>
    <row r="384" spans="1:16" x14ac:dyDescent="0.3">
      <c r="A384" s="492" t="s">
        <v>88</v>
      </c>
      <c r="B384" s="493" t="s">
        <v>512</v>
      </c>
      <c r="C384" t="s">
        <v>1064</v>
      </c>
      <c r="D384" s="182">
        <v>0</v>
      </c>
      <c r="E384" s="494">
        <v>0.79800000000000004</v>
      </c>
      <c r="I384" s="4"/>
      <c r="J384" s="4"/>
      <c r="L384" s="4"/>
      <c r="M384" s="477"/>
      <c r="N384" s="477"/>
      <c r="O384" s="477"/>
      <c r="P384" s="477"/>
    </row>
    <row r="385" spans="1:17" x14ac:dyDescent="0.3">
      <c r="A385" s="492" t="s">
        <v>88</v>
      </c>
      <c r="B385" s="493" t="s">
        <v>512</v>
      </c>
      <c r="C385" t="s">
        <v>1065</v>
      </c>
      <c r="D385" s="182">
        <v>0</v>
      </c>
      <c r="E385" s="494">
        <v>0.83750000000000002</v>
      </c>
      <c r="I385" s="4"/>
      <c r="J385" s="4"/>
      <c r="L385" s="4"/>
      <c r="M385" s="477"/>
      <c r="N385" s="477"/>
      <c r="O385" s="477"/>
      <c r="P385" s="477"/>
    </row>
    <row r="386" spans="1:17" x14ac:dyDescent="0.3">
      <c r="A386" s="492" t="s">
        <v>88</v>
      </c>
      <c r="B386" s="493" t="s">
        <v>513</v>
      </c>
      <c r="C386" t="s">
        <v>1066</v>
      </c>
      <c r="D386" s="182">
        <v>5793.5344999999998</v>
      </c>
      <c r="E386" s="494">
        <v>6177.9589999999998</v>
      </c>
      <c r="M386" s="15"/>
      <c r="N386" s="15"/>
      <c r="O386" s="15"/>
      <c r="P386" s="15"/>
    </row>
    <row r="387" spans="1:17" x14ac:dyDescent="0.3">
      <c r="A387" s="492" t="s">
        <v>88</v>
      </c>
      <c r="B387" s="493" t="s">
        <v>513</v>
      </c>
      <c r="C387" t="s">
        <v>1067</v>
      </c>
      <c r="D387" s="182">
        <v>942.44749999999999</v>
      </c>
      <c r="E387" s="494">
        <v>1046.2774999999999</v>
      </c>
      <c r="I387" s="4"/>
      <c r="J387" s="4"/>
      <c r="L387" s="4"/>
      <c r="M387" s="477"/>
      <c r="N387" s="477"/>
      <c r="O387" s="477"/>
      <c r="P387" s="477"/>
    </row>
    <row r="388" spans="1:17" x14ac:dyDescent="0.3">
      <c r="A388" s="492" t="s">
        <v>88</v>
      </c>
      <c r="B388" s="493" t="s">
        <v>513</v>
      </c>
      <c r="C388" t="s">
        <v>1068</v>
      </c>
      <c r="D388" s="182">
        <v>3.0034999999999998</v>
      </c>
      <c r="E388" s="494">
        <v>1.41</v>
      </c>
      <c r="M388" s="15"/>
      <c r="N388" s="15"/>
      <c r="O388" s="15"/>
      <c r="P388" s="15"/>
    </row>
    <row r="389" spans="1:17" x14ac:dyDescent="0.3">
      <c r="A389" s="492" t="s">
        <v>88</v>
      </c>
      <c r="B389" s="493" t="s">
        <v>513</v>
      </c>
      <c r="C389" t="s">
        <v>1069</v>
      </c>
      <c r="D389" s="182">
        <v>4059.3919999999998</v>
      </c>
      <c r="E389" s="494">
        <v>4002.3879999999999</v>
      </c>
      <c r="I389" s="4"/>
      <c r="J389" s="4"/>
      <c r="L389" s="4"/>
      <c r="M389" s="477"/>
      <c r="N389" s="477"/>
      <c r="O389" s="477"/>
      <c r="P389" s="477"/>
    </row>
    <row r="390" spans="1:17" x14ac:dyDescent="0.3">
      <c r="A390" s="492" t="s">
        <v>88</v>
      </c>
      <c r="B390" s="493" t="s">
        <v>513</v>
      </c>
      <c r="C390" t="s">
        <v>1070</v>
      </c>
      <c r="D390" s="182">
        <v>1714.2660000000001</v>
      </c>
      <c r="E390" s="494">
        <v>1872.326</v>
      </c>
      <c r="M390" s="15"/>
      <c r="N390" s="15"/>
      <c r="O390" s="15"/>
      <c r="P390" s="15"/>
    </row>
    <row r="391" spans="1:17" x14ac:dyDescent="0.3">
      <c r="A391" s="492" t="s">
        <v>88</v>
      </c>
      <c r="B391" s="493" t="s">
        <v>514</v>
      </c>
      <c r="C391" t="s">
        <v>1065</v>
      </c>
      <c r="D391" s="182">
        <v>9.7665000000000006</v>
      </c>
      <c r="E391" s="494">
        <v>0</v>
      </c>
      <c r="M391" s="15"/>
      <c r="N391" s="15"/>
      <c r="O391" s="15"/>
      <c r="P391" s="15"/>
    </row>
    <row r="392" spans="1:17" x14ac:dyDescent="0.3">
      <c r="A392" s="492" t="s">
        <v>88</v>
      </c>
      <c r="B392" s="493" t="s">
        <v>515</v>
      </c>
      <c r="C392" t="s">
        <v>1061</v>
      </c>
      <c r="D392" s="182">
        <v>1.9</v>
      </c>
      <c r="E392" s="494">
        <v>0</v>
      </c>
      <c r="M392" s="15"/>
      <c r="N392" s="15"/>
      <c r="O392" s="15"/>
      <c r="P392" s="15"/>
      <c r="Q392" s="15">
        <f>SUM(N390:N392)</f>
        <v>0</v>
      </c>
    </row>
    <row r="393" spans="1:17" x14ac:dyDescent="0.3">
      <c r="A393" s="492" t="s">
        <v>88</v>
      </c>
      <c r="B393" s="493" t="s">
        <v>516</v>
      </c>
      <c r="C393" t="s">
        <v>1071</v>
      </c>
      <c r="D393" s="182">
        <v>1827.578</v>
      </c>
      <c r="E393" s="494">
        <v>1818.751</v>
      </c>
      <c r="M393" s="15"/>
      <c r="N393" s="15"/>
      <c r="O393" s="15"/>
      <c r="P393" s="15"/>
    </row>
    <row r="394" spans="1:17" x14ac:dyDescent="0.3">
      <c r="A394" s="492" t="s">
        <v>88</v>
      </c>
      <c r="B394" s="493" t="s">
        <v>517</v>
      </c>
      <c r="C394" t="s">
        <v>1072</v>
      </c>
      <c r="D394" s="182">
        <v>1333.394</v>
      </c>
      <c r="E394" s="494">
        <v>1509.6675</v>
      </c>
      <c r="F394" s="15"/>
      <c r="I394" s="4"/>
      <c r="J394" s="4"/>
      <c r="L394" s="4"/>
      <c r="M394" s="477"/>
      <c r="N394" s="477"/>
      <c r="O394" s="477"/>
      <c r="P394" s="477"/>
    </row>
    <row r="395" spans="1:17" x14ac:dyDescent="0.3">
      <c r="A395" s="492" t="s">
        <v>88</v>
      </c>
      <c r="B395" s="493" t="s">
        <v>518</v>
      </c>
      <c r="C395" t="s">
        <v>1073</v>
      </c>
      <c r="D395" s="182">
        <v>2040.8205</v>
      </c>
      <c r="E395" s="494">
        <v>2117.0790000000002</v>
      </c>
      <c r="M395" s="15"/>
      <c r="N395" s="15"/>
      <c r="O395" s="15"/>
      <c r="P395" s="15"/>
    </row>
    <row r="396" spans="1:17" x14ac:dyDescent="0.3">
      <c r="A396" s="492" t="s">
        <v>88</v>
      </c>
      <c r="B396" s="493" t="s">
        <v>518</v>
      </c>
      <c r="C396" t="s">
        <v>1074</v>
      </c>
      <c r="D396" s="182">
        <v>1434.9665</v>
      </c>
      <c r="E396" s="494">
        <v>1483.1969999999999</v>
      </c>
      <c r="I396" s="4"/>
      <c r="J396" s="4"/>
      <c r="L396" s="4"/>
      <c r="M396" s="477"/>
      <c r="N396" s="477"/>
      <c r="O396" s="477"/>
      <c r="P396" s="477"/>
    </row>
    <row r="397" spans="1:17" x14ac:dyDescent="0.3">
      <c r="A397" s="492" t="s">
        <v>88</v>
      </c>
      <c r="B397" s="493" t="s">
        <v>518</v>
      </c>
      <c r="C397" t="s">
        <v>1075</v>
      </c>
      <c r="D397" s="182">
        <v>1096.0165</v>
      </c>
      <c r="E397" s="494">
        <v>1091.7035000000001</v>
      </c>
      <c r="M397" s="15"/>
      <c r="N397" s="15"/>
      <c r="O397" s="15"/>
      <c r="P397" s="15"/>
    </row>
    <row r="398" spans="1:17" x14ac:dyDescent="0.3">
      <c r="A398" s="492" t="s">
        <v>88</v>
      </c>
      <c r="B398" s="493" t="s">
        <v>518</v>
      </c>
      <c r="C398" t="s">
        <v>1076</v>
      </c>
      <c r="D398" s="182">
        <v>912.97450000000003</v>
      </c>
      <c r="E398" s="494">
        <v>929.20650000000001</v>
      </c>
      <c r="I398" s="4"/>
      <c r="J398" s="4"/>
      <c r="L398" s="4"/>
      <c r="M398" s="477"/>
      <c r="N398" s="477"/>
      <c r="O398" s="477"/>
      <c r="P398" s="477"/>
    </row>
    <row r="399" spans="1:17" x14ac:dyDescent="0.3">
      <c r="A399" s="492" t="s">
        <v>88</v>
      </c>
      <c r="B399" s="493" t="s">
        <v>518</v>
      </c>
      <c r="C399" t="s">
        <v>1077</v>
      </c>
      <c r="D399" s="182">
        <v>1685.473</v>
      </c>
      <c r="E399" s="494">
        <v>3335.8110000000001</v>
      </c>
      <c r="M399" s="15"/>
      <c r="N399" s="15"/>
      <c r="O399" s="15"/>
      <c r="P399" s="15"/>
    </row>
    <row r="400" spans="1:17" x14ac:dyDescent="0.3">
      <c r="A400" s="492" t="s">
        <v>88</v>
      </c>
      <c r="B400" s="493" t="s">
        <v>518</v>
      </c>
      <c r="C400" t="s">
        <v>1078</v>
      </c>
      <c r="D400" s="182">
        <v>2112.6374999999998</v>
      </c>
      <c r="E400" s="494">
        <v>2085.2465000000002</v>
      </c>
    </row>
    <row r="401" spans="1:5" x14ac:dyDescent="0.3">
      <c r="A401" s="492" t="s">
        <v>88</v>
      </c>
      <c r="B401" s="493" t="s">
        <v>1079</v>
      </c>
      <c r="C401" t="s">
        <v>1080</v>
      </c>
      <c r="D401" s="182">
        <v>0</v>
      </c>
      <c r="E401" s="494">
        <v>23.936</v>
      </c>
    </row>
    <row r="402" spans="1:5" x14ac:dyDescent="0.3">
      <c r="A402" s="492" t="s">
        <v>88</v>
      </c>
      <c r="B402" s="493" t="s">
        <v>519</v>
      </c>
      <c r="C402" t="s">
        <v>1081</v>
      </c>
      <c r="D402" s="182">
        <v>5073.2259999999997</v>
      </c>
      <c r="E402" s="494">
        <v>2249.9029999999998</v>
      </c>
    </row>
    <row r="403" spans="1:5" x14ac:dyDescent="0.3">
      <c r="A403" s="492" t="s">
        <v>88</v>
      </c>
      <c r="B403" s="493" t="s">
        <v>520</v>
      </c>
      <c r="C403" t="s">
        <v>1082</v>
      </c>
      <c r="D403" s="182">
        <v>0.26500000000000001</v>
      </c>
      <c r="E403" s="494">
        <v>0</v>
      </c>
    </row>
    <row r="404" spans="1:5" x14ac:dyDescent="0.3">
      <c r="A404" s="492" t="s">
        <v>88</v>
      </c>
      <c r="B404" s="493" t="s">
        <v>521</v>
      </c>
      <c r="C404" t="s">
        <v>1083</v>
      </c>
      <c r="D404" s="182">
        <v>1615.5360000000001</v>
      </c>
      <c r="E404" s="494">
        <v>1465.8040000000001</v>
      </c>
    </row>
    <row r="405" spans="1:5" x14ac:dyDescent="0.3">
      <c r="A405" s="492" t="s">
        <v>88</v>
      </c>
      <c r="B405" s="493" t="s">
        <v>1084</v>
      </c>
      <c r="C405" t="s">
        <v>1082</v>
      </c>
      <c r="D405" s="182">
        <v>0</v>
      </c>
      <c r="E405" s="494">
        <v>17.324999999999999</v>
      </c>
    </row>
    <row r="406" spans="1:5" x14ac:dyDescent="0.3">
      <c r="A406" s="492" t="s">
        <v>88</v>
      </c>
      <c r="B406" s="493" t="s">
        <v>522</v>
      </c>
      <c r="C406" t="s">
        <v>1085</v>
      </c>
      <c r="D406" s="182">
        <v>33.037500000000001</v>
      </c>
      <c r="E406" s="494">
        <v>37.141500000000001</v>
      </c>
    </row>
    <row r="407" spans="1:5" x14ac:dyDescent="0.3">
      <c r="A407" s="492" t="s">
        <v>88</v>
      </c>
      <c r="B407" s="493" t="s">
        <v>523</v>
      </c>
      <c r="C407" t="s">
        <v>1086</v>
      </c>
      <c r="D407" s="182">
        <v>623.93600000000004</v>
      </c>
      <c r="E407" s="494">
        <v>629.70349999999996</v>
      </c>
    </row>
    <row r="408" spans="1:5" x14ac:dyDescent="0.3">
      <c r="A408" s="492" t="s">
        <v>88</v>
      </c>
      <c r="B408" s="493" t="s">
        <v>524</v>
      </c>
      <c r="C408" t="s">
        <v>1087</v>
      </c>
      <c r="D408" s="182">
        <v>321.89400000000001</v>
      </c>
      <c r="E408" s="494">
        <v>293.077</v>
      </c>
    </row>
    <row r="409" spans="1:5" x14ac:dyDescent="0.3">
      <c r="A409" s="492" t="s">
        <v>88</v>
      </c>
      <c r="B409" s="493" t="s">
        <v>525</v>
      </c>
      <c r="C409" t="s">
        <v>1088</v>
      </c>
      <c r="D409" s="182">
        <v>1481.6859999999999</v>
      </c>
      <c r="E409" s="494">
        <v>1131.3744999999999</v>
      </c>
    </row>
    <row r="410" spans="1:5" x14ac:dyDescent="0.3">
      <c r="A410" s="492" t="s">
        <v>88</v>
      </c>
      <c r="B410" s="493" t="s">
        <v>526</v>
      </c>
      <c r="C410" t="s">
        <v>1063</v>
      </c>
      <c r="D410" s="182">
        <v>0.33250000000000002</v>
      </c>
      <c r="E410" s="494">
        <v>1.2500000000000001E-2</v>
      </c>
    </row>
    <row r="411" spans="1:5" x14ac:dyDescent="0.3">
      <c r="A411" s="492" t="s">
        <v>88</v>
      </c>
      <c r="B411" s="493" t="s">
        <v>526</v>
      </c>
      <c r="C411" t="s">
        <v>1064</v>
      </c>
      <c r="D411" s="182">
        <v>2.6589999999999998</v>
      </c>
      <c r="E411" s="494">
        <v>0</v>
      </c>
    </row>
    <row r="412" spans="1:5" x14ac:dyDescent="0.3">
      <c r="A412" s="492" t="s">
        <v>88</v>
      </c>
      <c r="B412" s="493" t="s">
        <v>526</v>
      </c>
      <c r="C412" t="s">
        <v>1065</v>
      </c>
      <c r="D412" s="182">
        <v>3.5000000000000003E-2</v>
      </c>
      <c r="E412" s="494">
        <v>0</v>
      </c>
    </row>
    <row r="413" spans="1:5" x14ac:dyDescent="0.3">
      <c r="A413" s="492" t="s">
        <v>88</v>
      </c>
      <c r="B413" s="493" t="s">
        <v>527</v>
      </c>
      <c r="C413" t="s">
        <v>1061</v>
      </c>
      <c r="D413" s="182">
        <v>0</v>
      </c>
      <c r="E413" s="494">
        <v>10.8385</v>
      </c>
    </row>
    <row r="414" spans="1:5" x14ac:dyDescent="0.3">
      <c r="A414" s="492" t="s">
        <v>88</v>
      </c>
      <c r="B414" s="493" t="s">
        <v>527</v>
      </c>
      <c r="C414" t="s">
        <v>1089</v>
      </c>
      <c r="D414" s="182">
        <v>0.56799999999999995</v>
      </c>
      <c r="E414" s="494">
        <v>11.577</v>
      </c>
    </row>
    <row r="415" spans="1:5" x14ac:dyDescent="0.3">
      <c r="A415" s="492" t="s">
        <v>88</v>
      </c>
      <c r="B415" s="493" t="s">
        <v>528</v>
      </c>
      <c r="C415" t="s">
        <v>1090</v>
      </c>
      <c r="D415" s="182">
        <v>0</v>
      </c>
      <c r="E415" s="494">
        <v>594.08600000000001</v>
      </c>
    </row>
    <row r="416" spans="1:5" x14ac:dyDescent="0.3">
      <c r="A416" s="492" t="s">
        <v>88</v>
      </c>
      <c r="B416" s="493" t="s">
        <v>529</v>
      </c>
      <c r="C416" t="s">
        <v>1091</v>
      </c>
      <c r="D416" s="182">
        <v>167.35900000000001</v>
      </c>
      <c r="E416" s="494">
        <v>1360.577</v>
      </c>
    </row>
    <row r="417" spans="1:5" x14ac:dyDescent="0.3">
      <c r="A417" s="492" t="s">
        <v>88</v>
      </c>
      <c r="B417" s="493" t="s">
        <v>530</v>
      </c>
      <c r="C417" t="s">
        <v>1092</v>
      </c>
      <c r="D417" s="182">
        <v>7.7460000000000004</v>
      </c>
      <c r="E417" s="494">
        <v>1.0309999999999999</v>
      </c>
    </row>
    <row r="418" spans="1:5" x14ac:dyDescent="0.3">
      <c r="A418" s="492" t="s">
        <v>88</v>
      </c>
      <c r="B418" s="493" t="s">
        <v>531</v>
      </c>
      <c r="C418" t="s">
        <v>1060</v>
      </c>
      <c r="D418" s="182">
        <v>0.13800000000000001</v>
      </c>
      <c r="E418" s="494">
        <v>0.19600000000000001</v>
      </c>
    </row>
    <row r="419" spans="1:5" x14ac:dyDescent="0.3">
      <c r="A419" s="492" t="s">
        <v>88</v>
      </c>
      <c r="B419" s="493" t="s">
        <v>532</v>
      </c>
      <c r="C419" t="s">
        <v>1073</v>
      </c>
      <c r="D419" s="182">
        <v>2.3115000000000001</v>
      </c>
      <c r="E419" s="494">
        <v>1.0780000000000001</v>
      </c>
    </row>
    <row r="420" spans="1:5" x14ac:dyDescent="0.3">
      <c r="A420" s="492" t="s">
        <v>88</v>
      </c>
      <c r="B420" s="493" t="s">
        <v>533</v>
      </c>
      <c r="C420" t="s">
        <v>1093</v>
      </c>
      <c r="D420" s="182">
        <v>21.818000000000001</v>
      </c>
      <c r="E420" s="494">
        <v>81.646000000000001</v>
      </c>
    </row>
    <row r="421" spans="1:5" x14ac:dyDescent="0.3">
      <c r="A421" s="492" t="s">
        <v>88</v>
      </c>
      <c r="B421" s="493" t="s">
        <v>534</v>
      </c>
      <c r="C421" t="s">
        <v>1094</v>
      </c>
      <c r="D421" s="182">
        <v>233.46899999999999</v>
      </c>
      <c r="E421" s="494">
        <v>309.137</v>
      </c>
    </row>
    <row r="422" spans="1:5" x14ac:dyDescent="0.3">
      <c r="A422" s="492" t="s">
        <v>88</v>
      </c>
      <c r="B422" s="493" t="s">
        <v>534</v>
      </c>
      <c r="C422" t="s">
        <v>1095</v>
      </c>
      <c r="D422" s="182">
        <v>1017.2325</v>
      </c>
      <c r="E422" s="494">
        <v>1021.4405</v>
      </c>
    </row>
    <row r="423" spans="1:5" x14ac:dyDescent="0.3">
      <c r="A423" s="492" t="s">
        <v>88</v>
      </c>
      <c r="B423" s="493" t="s">
        <v>534</v>
      </c>
      <c r="C423" t="s">
        <v>1096</v>
      </c>
      <c r="D423" s="182">
        <v>190.292</v>
      </c>
      <c r="E423" s="494">
        <v>154.61000000000001</v>
      </c>
    </row>
    <row r="424" spans="1:5" x14ac:dyDescent="0.3">
      <c r="A424" s="492" t="s">
        <v>88</v>
      </c>
      <c r="B424" s="493" t="s">
        <v>535</v>
      </c>
      <c r="C424" t="s">
        <v>1080</v>
      </c>
      <c r="D424" s="182">
        <v>7.1999999999999995E-2</v>
      </c>
      <c r="E424" s="494">
        <v>3.9794999999999998</v>
      </c>
    </row>
    <row r="425" spans="1:5" x14ac:dyDescent="0.3">
      <c r="A425" s="492" t="s">
        <v>88</v>
      </c>
      <c r="B425" s="493" t="s">
        <v>368</v>
      </c>
      <c r="C425" t="s">
        <v>1097</v>
      </c>
      <c r="D425" s="182">
        <v>7.9000000000000001E-2</v>
      </c>
      <c r="E425" s="494">
        <v>0</v>
      </c>
    </row>
    <row r="426" spans="1:5" x14ac:dyDescent="0.3">
      <c r="A426" s="492" t="s">
        <v>88</v>
      </c>
      <c r="B426" s="493" t="s">
        <v>536</v>
      </c>
      <c r="C426" t="s">
        <v>1098</v>
      </c>
      <c r="D426" s="182">
        <v>2461.942</v>
      </c>
      <c r="E426" s="494">
        <v>2531.0100000000002</v>
      </c>
    </row>
    <row r="427" spans="1:5" x14ac:dyDescent="0.3">
      <c r="A427" s="492" t="s">
        <v>88</v>
      </c>
      <c r="B427" s="493" t="s">
        <v>536</v>
      </c>
      <c r="C427" t="s">
        <v>1099</v>
      </c>
      <c r="D427" s="182">
        <v>1637.9269999999999</v>
      </c>
      <c r="E427" s="494">
        <v>1759.6144999999999</v>
      </c>
    </row>
    <row r="428" spans="1:5" x14ac:dyDescent="0.3">
      <c r="A428" s="492" t="s">
        <v>88</v>
      </c>
      <c r="B428" s="493" t="s">
        <v>537</v>
      </c>
      <c r="C428" t="s">
        <v>1100</v>
      </c>
      <c r="D428" s="182">
        <v>316.67450000000002</v>
      </c>
      <c r="E428" s="494">
        <v>322.1925</v>
      </c>
    </row>
    <row r="429" spans="1:5" x14ac:dyDescent="0.3">
      <c r="A429" s="492" t="s">
        <v>88</v>
      </c>
      <c r="B429" s="493" t="s">
        <v>538</v>
      </c>
      <c r="C429" t="s">
        <v>1101</v>
      </c>
      <c r="D429" s="182">
        <v>4112.9480000000003</v>
      </c>
      <c r="E429" s="494">
        <v>3663.0425</v>
      </c>
    </row>
    <row r="430" spans="1:5" x14ac:dyDescent="0.3">
      <c r="A430" s="492" t="s">
        <v>88</v>
      </c>
      <c r="B430" s="493" t="s">
        <v>539</v>
      </c>
      <c r="C430" t="s">
        <v>1102</v>
      </c>
      <c r="D430" s="182">
        <v>0.80300000000000005</v>
      </c>
      <c r="E430" s="494">
        <v>1.2E-2</v>
      </c>
    </row>
    <row r="431" spans="1:5" x14ac:dyDescent="0.3">
      <c r="A431" s="492" t="s">
        <v>88</v>
      </c>
      <c r="B431" s="493" t="s">
        <v>539</v>
      </c>
      <c r="C431" t="s">
        <v>1085</v>
      </c>
      <c r="D431" s="182">
        <v>0</v>
      </c>
      <c r="E431" s="494">
        <v>0.125</v>
      </c>
    </row>
    <row r="432" spans="1:5" x14ac:dyDescent="0.3">
      <c r="A432" s="492" t="s">
        <v>88</v>
      </c>
      <c r="B432" s="493" t="s">
        <v>540</v>
      </c>
      <c r="C432" t="s">
        <v>1063</v>
      </c>
      <c r="D432" s="182">
        <v>2.7410000000000001</v>
      </c>
      <c r="E432" s="494">
        <v>89.35</v>
      </c>
    </row>
    <row r="433" spans="1:5" x14ac:dyDescent="0.3">
      <c r="A433" s="492" t="s">
        <v>88</v>
      </c>
      <c r="B433" s="493" t="s">
        <v>576</v>
      </c>
      <c r="C433" t="s">
        <v>1093</v>
      </c>
      <c r="D433" s="182">
        <v>0</v>
      </c>
      <c r="E433" s="494">
        <v>0.32150000000000001</v>
      </c>
    </row>
    <row r="434" spans="1:5" x14ac:dyDescent="0.3">
      <c r="A434" s="492" t="s">
        <v>88</v>
      </c>
      <c r="B434" s="493" t="s">
        <v>541</v>
      </c>
      <c r="C434" t="s">
        <v>1093</v>
      </c>
      <c r="D434" s="182">
        <v>39.280500000000004</v>
      </c>
      <c r="E434" s="494">
        <v>64.564999999999998</v>
      </c>
    </row>
    <row r="435" spans="1:5" x14ac:dyDescent="0.3">
      <c r="A435" s="492" t="s">
        <v>88</v>
      </c>
      <c r="B435" s="493" t="s">
        <v>542</v>
      </c>
      <c r="C435" t="s">
        <v>1103</v>
      </c>
      <c r="D435" s="182">
        <v>406.41</v>
      </c>
      <c r="E435" s="494">
        <v>436.65649999999999</v>
      </c>
    </row>
    <row r="436" spans="1:5" x14ac:dyDescent="0.3">
      <c r="A436" s="664" t="s">
        <v>543</v>
      </c>
      <c r="B436" s="665"/>
      <c r="C436" s="666"/>
      <c r="D436" s="495">
        <v>61202.769</v>
      </c>
      <c r="E436" s="496">
        <v>62950.315000000002</v>
      </c>
    </row>
    <row r="437" spans="1:5" x14ac:dyDescent="0.3">
      <c r="A437" s="492" t="s">
        <v>1104</v>
      </c>
      <c r="B437" s="493" t="s">
        <v>544</v>
      </c>
      <c r="C437" t="s">
        <v>1105</v>
      </c>
      <c r="D437" s="182">
        <v>0.89549999999999996</v>
      </c>
      <c r="E437" s="494">
        <v>0.42649999999999999</v>
      </c>
    </row>
    <row r="438" spans="1:5" x14ac:dyDescent="0.3">
      <c r="A438" s="492" t="s">
        <v>1104</v>
      </c>
      <c r="B438" s="493" t="s">
        <v>545</v>
      </c>
      <c r="C438" t="s">
        <v>1106</v>
      </c>
      <c r="D438" s="182">
        <v>1.0900000000000001</v>
      </c>
      <c r="E438" s="494">
        <v>1.115</v>
      </c>
    </row>
    <row r="439" spans="1:5" x14ac:dyDescent="0.3">
      <c r="A439" s="492" t="s">
        <v>1104</v>
      </c>
      <c r="B439" s="493" t="s">
        <v>546</v>
      </c>
      <c r="C439" t="s">
        <v>1107</v>
      </c>
      <c r="D439" s="182">
        <v>0.11749999999999999</v>
      </c>
      <c r="E439" s="494">
        <v>5.7500000000000002E-2</v>
      </c>
    </row>
    <row r="440" spans="1:5" x14ac:dyDescent="0.3">
      <c r="A440" s="492" t="s">
        <v>1104</v>
      </c>
      <c r="B440" s="493" t="s">
        <v>547</v>
      </c>
      <c r="C440" t="s">
        <v>1108</v>
      </c>
      <c r="D440" s="182">
        <v>3.4750000000000001</v>
      </c>
      <c r="E440" s="494">
        <v>3.78</v>
      </c>
    </row>
    <row r="441" spans="1:5" x14ac:dyDescent="0.3">
      <c r="A441" s="492" t="s">
        <v>1104</v>
      </c>
      <c r="B441" s="493" t="s">
        <v>548</v>
      </c>
      <c r="C441" t="s">
        <v>1109</v>
      </c>
      <c r="D441" s="182">
        <v>0.17549999999999999</v>
      </c>
      <c r="E441" s="494">
        <v>1.55E-2</v>
      </c>
    </row>
    <row r="442" spans="1:5" x14ac:dyDescent="0.3">
      <c r="A442" s="492" t="s">
        <v>1104</v>
      </c>
      <c r="B442" s="493" t="s">
        <v>549</v>
      </c>
      <c r="C442" t="s">
        <v>1110</v>
      </c>
      <c r="D442" s="182">
        <v>2.2770000000000001</v>
      </c>
      <c r="E442" s="494">
        <v>2.8105000000000002</v>
      </c>
    </row>
    <row r="443" spans="1:5" x14ac:dyDescent="0.3">
      <c r="A443" s="492" t="s">
        <v>1104</v>
      </c>
      <c r="B443" s="493" t="s">
        <v>550</v>
      </c>
      <c r="C443" t="s">
        <v>1111</v>
      </c>
      <c r="D443" s="182">
        <v>10.1</v>
      </c>
      <c r="E443" s="494">
        <v>21.990500000000001</v>
      </c>
    </row>
    <row r="444" spans="1:5" x14ac:dyDescent="0.3">
      <c r="A444" s="492" t="s">
        <v>1104</v>
      </c>
      <c r="B444" s="493" t="s">
        <v>550</v>
      </c>
      <c r="C444" t="s">
        <v>1112</v>
      </c>
      <c r="D444" s="182">
        <v>0.39350000000000002</v>
      </c>
      <c r="E444" s="494">
        <v>1.9970000000000001</v>
      </c>
    </row>
    <row r="445" spans="1:5" x14ac:dyDescent="0.3">
      <c r="A445" s="492" t="s">
        <v>1104</v>
      </c>
      <c r="B445" s="493" t="s">
        <v>550</v>
      </c>
      <c r="C445" t="s">
        <v>1113</v>
      </c>
      <c r="D445" s="182">
        <v>29.696999999999999</v>
      </c>
      <c r="E445" s="494">
        <v>21.579000000000001</v>
      </c>
    </row>
    <row r="446" spans="1:5" x14ac:dyDescent="0.3">
      <c r="A446" s="492" t="s">
        <v>1104</v>
      </c>
      <c r="B446" s="493" t="s">
        <v>550</v>
      </c>
      <c r="C446" t="s">
        <v>1114</v>
      </c>
      <c r="D446" s="182">
        <v>14.025</v>
      </c>
      <c r="E446" s="494">
        <v>12.8835</v>
      </c>
    </row>
    <row r="447" spans="1:5" x14ac:dyDescent="0.3">
      <c r="A447" s="492" t="s">
        <v>1104</v>
      </c>
      <c r="B447" s="493" t="s">
        <v>551</v>
      </c>
      <c r="C447" t="s">
        <v>1115</v>
      </c>
      <c r="D447" s="182">
        <v>2.9704999999999999</v>
      </c>
      <c r="E447" s="494">
        <v>3.1324999999999998</v>
      </c>
    </row>
    <row r="448" spans="1:5" x14ac:dyDescent="0.3">
      <c r="A448" s="492" t="s">
        <v>1104</v>
      </c>
      <c r="B448" s="493" t="s">
        <v>552</v>
      </c>
      <c r="C448" t="s">
        <v>1116</v>
      </c>
      <c r="D448" s="182">
        <v>0.25850000000000001</v>
      </c>
      <c r="E448" s="494">
        <v>0</v>
      </c>
    </row>
    <row r="449" spans="1:5" x14ac:dyDescent="0.3">
      <c r="A449" s="492" t="s">
        <v>1104</v>
      </c>
      <c r="B449" s="493" t="s">
        <v>553</v>
      </c>
      <c r="C449" t="s">
        <v>1117</v>
      </c>
      <c r="D449" s="182">
        <v>0.71399999999999997</v>
      </c>
      <c r="E449" s="494">
        <v>0.34899999999999998</v>
      </c>
    </row>
    <row r="450" spans="1:5" x14ac:dyDescent="0.3">
      <c r="A450" s="492" t="s">
        <v>1104</v>
      </c>
      <c r="B450" s="493" t="s">
        <v>309</v>
      </c>
      <c r="C450" t="s">
        <v>1112</v>
      </c>
      <c r="D450" s="182">
        <v>0.2515</v>
      </c>
      <c r="E450" s="494">
        <v>3.4275000000000002</v>
      </c>
    </row>
    <row r="451" spans="1:5" x14ac:dyDescent="0.3">
      <c r="A451" s="492" t="s">
        <v>1104</v>
      </c>
      <c r="B451" s="493" t="s">
        <v>309</v>
      </c>
      <c r="C451" t="s">
        <v>1118</v>
      </c>
      <c r="D451" s="182">
        <v>1.4139999999999999</v>
      </c>
      <c r="E451" s="494">
        <v>4.8674999999999997</v>
      </c>
    </row>
    <row r="452" spans="1:5" x14ac:dyDescent="0.3">
      <c r="A452" s="492" t="s">
        <v>1104</v>
      </c>
      <c r="B452" s="493" t="s">
        <v>309</v>
      </c>
      <c r="C452" t="s">
        <v>1119</v>
      </c>
      <c r="D452" s="182">
        <v>3.5019999999999998</v>
      </c>
      <c r="E452" s="494">
        <v>3.8464999999999998</v>
      </c>
    </row>
    <row r="453" spans="1:5" x14ac:dyDescent="0.3">
      <c r="A453" s="492" t="s">
        <v>1104</v>
      </c>
      <c r="B453" s="493" t="s">
        <v>554</v>
      </c>
      <c r="C453" t="s">
        <v>1120</v>
      </c>
      <c r="D453" s="182">
        <v>0.56999999999999995</v>
      </c>
      <c r="E453" s="494">
        <v>0.51800000000000002</v>
      </c>
    </row>
    <row r="454" spans="1:5" x14ac:dyDescent="0.3">
      <c r="A454" s="492" t="s">
        <v>1104</v>
      </c>
      <c r="B454" s="493" t="s">
        <v>555</v>
      </c>
      <c r="C454" t="s">
        <v>1121</v>
      </c>
      <c r="D454" s="182">
        <v>1.1335</v>
      </c>
      <c r="E454" s="494">
        <v>1.2715000000000001</v>
      </c>
    </row>
    <row r="455" spans="1:5" x14ac:dyDescent="0.3">
      <c r="A455" s="492" t="s">
        <v>1104</v>
      </c>
      <c r="B455" s="493" t="s">
        <v>556</v>
      </c>
      <c r="C455" t="s">
        <v>1122</v>
      </c>
      <c r="D455" s="182">
        <v>2.165</v>
      </c>
      <c r="E455" s="494">
        <v>3.7010000000000001</v>
      </c>
    </row>
    <row r="456" spans="1:5" x14ac:dyDescent="0.3">
      <c r="A456" s="492" t="s">
        <v>1104</v>
      </c>
      <c r="B456" s="493" t="s">
        <v>556</v>
      </c>
      <c r="C456" t="s">
        <v>1123</v>
      </c>
      <c r="D456" s="182">
        <v>2.0619999999999998</v>
      </c>
      <c r="E456" s="494">
        <v>1.6830000000000001</v>
      </c>
    </row>
    <row r="457" spans="1:5" x14ac:dyDescent="0.3">
      <c r="A457" s="492" t="s">
        <v>1104</v>
      </c>
      <c r="B457" s="493" t="s">
        <v>556</v>
      </c>
      <c r="C457" t="s">
        <v>1124</v>
      </c>
      <c r="D457" s="182">
        <v>0.84750000000000003</v>
      </c>
      <c r="E457" s="494">
        <v>2.2829999999999999</v>
      </c>
    </row>
    <row r="458" spans="1:5" x14ac:dyDescent="0.3">
      <c r="A458" s="492" t="s">
        <v>1104</v>
      </c>
      <c r="B458" s="493" t="s">
        <v>557</v>
      </c>
      <c r="C458" t="s">
        <v>1125</v>
      </c>
      <c r="D458" s="182">
        <v>8.4290000000000003</v>
      </c>
      <c r="E458" s="494">
        <v>8.0455000000000005</v>
      </c>
    </row>
    <row r="459" spans="1:5" x14ac:dyDescent="0.3">
      <c r="A459" s="492" t="s">
        <v>1104</v>
      </c>
      <c r="B459" s="493" t="s">
        <v>558</v>
      </c>
      <c r="C459" t="s">
        <v>1126</v>
      </c>
      <c r="D459" s="182">
        <v>0.77</v>
      </c>
      <c r="E459" s="494">
        <v>0.14499999999999999</v>
      </c>
    </row>
    <row r="460" spans="1:5" x14ac:dyDescent="0.3">
      <c r="A460" s="492" t="s">
        <v>1104</v>
      </c>
      <c r="B460" s="493" t="s">
        <v>559</v>
      </c>
      <c r="C460" t="s">
        <v>1127</v>
      </c>
      <c r="D460" s="182">
        <v>3.1829999999999998</v>
      </c>
      <c r="E460" s="494">
        <v>3.9980000000000002</v>
      </c>
    </row>
    <row r="461" spans="1:5" x14ac:dyDescent="0.3">
      <c r="A461" s="492" t="s">
        <v>1104</v>
      </c>
      <c r="B461" s="493" t="s">
        <v>560</v>
      </c>
      <c r="C461" t="s">
        <v>1128</v>
      </c>
      <c r="D461" s="182">
        <v>1.5335000000000001</v>
      </c>
      <c r="E461" s="494">
        <v>0</v>
      </c>
    </row>
    <row r="462" spans="1:5" x14ac:dyDescent="0.3">
      <c r="A462" s="492" t="s">
        <v>1104</v>
      </c>
      <c r="B462" s="493" t="s">
        <v>561</v>
      </c>
      <c r="C462" t="s">
        <v>1129</v>
      </c>
      <c r="D462" s="182">
        <v>0.33</v>
      </c>
      <c r="E462" s="494">
        <v>0</v>
      </c>
    </row>
    <row r="463" spans="1:5" x14ac:dyDescent="0.3">
      <c r="A463" s="492" t="s">
        <v>1104</v>
      </c>
      <c r="B463" s="493" t="s">
        <v>562</v>
      </c>
      <c r="C463" t="s">
        <v>1130</v>
      </c>
      <c r="D463" s="182">
        <v>1.9624999999999999</v>
      </c>
      <c r="E463" s="494">
        <v>1.8065</v>
      </c>
    </row>
    <row r="464" spans="1:5" x14ac:dyDescent="0.3">
      <c r="A464" s="492" t="s">
        <v>1104</v>
      </c>
      <c r="B464" s="493" t="s">
        <v>563</v>
      </c>
      <c r="C464" t="s">
        <v>1131</v>
      </c>
      <c r="D464" s="182">
        <v>0.88649999999999995</v>
      </c>
      <c r="E464" s="494">
        <v>0.65400000000000003</v>
      </c>
    </row>
    <row r="465" spans="1:5" x14ac:dyDescent="0.3">
      <c r="A465" s="492" t="s">
        <v>1104</v>
      </c>
      <c r="B465" s="493" t="s">
        <v>564</v>
      </c>
      <c r="C465" t="s">
        <v>1132</v>
      </c>
      <c r="D465" s="182">
        <v>8.0000000000000002E-3</v>
      </c>
      <c r="E465" s="494">
        <v>8.9999999999999993E-3</v>
      </c>
    </row>
    <row r="466" spans="1:5" x14ac:dyDescent="0.3">
      <c r="A466" s="492" t="s">
        <v>1104</v>
      </c>
      <c r="B466" s="493" t="s">
        <v>565</v>
      </c>
      <c r="C466" t="s">
        <v>1133</v>
      </c>
      <c r="D466" s="182">
        <v>0.33750000000000002</v>
      </c>
      <c r="E466" s="494">
        <v>0.183</v>
      </c>
    </row>
    <row r="467" spans="1:5" x14ac:dyDescent="0.3">
      <c r="A467" s="492" t="s">
        <v>1104</v>
      </c>
      <c r="B467" s="493" t="s">
        <v>355</v>
      </c>
      <c r="C467" t="s">
        <v>1134</v>
      </c>
      <c r="D467" s="182">
        <v>9.4930000000000003</v>
      </c>
      <c r="E467" s="494">
        <v>6.8730000000000002</v>
      </c>
    </row>
    <row r="468" spans="1:5" x14ac:dyDescent="0.3">
      <c r="A468" s="492" t="s">
        <v>1104</v>
      </c>
      <c r="B468" s="493" t="s">
        <v>355</v>
      </c>
      <c r="C468" t="s">
        <v>1135</v>
      </c>
      <c r="D468" s="182">
        <v>8.9060000000000006</v>
      </c>
      <c r="E468" s="494">
        <v>8.5794999999999995</v>
      </c>
    </row>
    <row r="469" spans="1:5" x14ac:dyDescent="0.3">
      <c r="A469" s="492" t="s">
        <v>1104</v>
      </c>
      <c r="B469" s="493" t="s">
        <v>503</v>
      </c>
      <c r="C469" t="s">
        <v>1136</v>
      </c>
      <c r="D469" s="182">
        <v>0.188</v>
      </c>
      <c r="E469" s="494">
        <v>0.13550000000000001</v>
      </c>
    </row>
    <row r="470" spans="1:5" x14ac:dyDescent="0.3">
      <c r="A470" s="492" t="s">
        <v>1104</v>
      </c>
      <c r="B470" s="493" t="s">
        <v>503</v>
      </c>
      <c r="C470" t="s">
        <v>1137</v>
      </c>
      <c r="D470" s="182">
        <v>0.46700000000000003</v>
      </c>
      <c r="E470" s="494">
        <v>0.46100000000000002</v>
      </c>
    </row>
    <row r="471" spans="1:5" x14ac:dyDescent="0.3">
      <c r="A471" s="492" t="s">
        <v>1104</v>
      </c>
      <c r="B471" s="493" t="s">
        <v>503</v>
      </c>
      <c r="C471" t="s">
        <v>1138</v>
      </c>
      <c r="D471" s="182">
        <v>0.72</v>
      </c>
      <c r="E471" s="494">
        <v>0.70399999999999996</v>
      </c>
    </row>
    <row r="472" spans="1:5" x14ac:dyDescent="0.3">
      <c r="A472" s="492" t="s">
        <v>1104</v>
      </c>
      <c r="B472" s="493" t="s">
        <v>504</v>
      </c>
      <c r="C472" t="s">
        <v>1139</v>
      </c>
      <c r="D472" s="182">
        <v>3.3290000000000002</v>
      </c>
      <c r="E472" s="494">
        <v>3.2885</v>
      </c>
    </row>
    <row r="473" spans="1:5" x14ac:dyDescent="0.3">
      <c r="A473" s="492" t="s">
        <v>1104</v>
      </c>
      <c r="B473" s="493" t="s">
        <v>357</v>
      </c>
      <c r="C473" t="s">
        <v>1140</v>
      </c>
      <c r="D473" s="182">
        <v>5.7500000000000002E-2</v>
      </c>
      <c r="E473" s="494">
        <v>4.9500000000000002E-2</v>
      </c>
    </row>
    <row r="474" spans="1:5" x14ac:dyDescent="0.3">
      <c r="A474" s="492" t="s">
        <v>1104</v>
      </c>
      <c r="B474" s="493" t="s">
        <v>567</v>
      </c>
      <c r="C474" t="s">
        <v>1141</v>
      </c>
      <c r="D474" s="182">
        <v>2.3340000000000001</v>
      </c>
      <c r="E474" s="494">
        <v>1.5409999999999999</v>
      </c>
    </row>
    <row r="475" spans="1:5" x14ac:dyDescent="0.3">
      <c r="A475" s="492" t="s">
        <v>1104</v>
      </c>
      <c r="B475" s="493" t="s">
        <v>568</v>
      </c>
      <c r="C475" t="s">
        <v>1142</v>
      </c>
      <c r="D475" s="182">
        <v>0.72350000000000003</v>
      </c>
      <c r="E475" s="494">
        <v>0.48249999999999998</v>
      </c>
    </row>
    <row r="476" spans="1:5" x14ac:dyDescent="0.3">
      <c r="A476" s="664" t="s">
        <v>1143</v>
      </c>
      <c r="B476" s="665"/>
      <c r="C476" s="666"/>
      <c r="D476" s="495">
        <v>121.7925</v>
      </c>
      <c r="E476" s="496">
        <v>128.69</v>
      </c>
    </row>
    <row r="477" spans="1:5" x14ac:dyDescent="0.3">
      <c r="A477" s="492" t="s">
        <v>89</v>
      </c>
      <c r="B477" s="493" t="s">
        <v>569</v>
      </c>
      <c r="C477" t="s">
        <v>1144</v>
      </c>
      <c r="D477" s="182">
        <v>1512.8019999999999</v>
      </c>
      <c r="E477" s="494">
        <v>1806.8205</v>
      </c>
    </row>
    <row r="478" spans="1:5" x14ac:dyDescent="0.3">
      <c r="A478" s="492" t="s">
        <v>89</v>
      </c>
      <c r="B478" s="493" t="s">
        <v>570</v>
      </c>
      <c r="C478" t="s">
        <v>1145</v>
      </c>
      <c r="D478" s="182">
        <v>458.00150000000002</v>
      </c>
      <c r="E478" s="494">
        <v>330.96499999999997</v>
      </c>
    </row>
    <row r="479" spans="1:5" x14ac:dyDescent="0.3">
      <c r="A479" s="492" t="s">
        <v>89</v>
      </c>
      <c r="B479" s="493" t="s">
        <v>571</v>
      </c>
      <c r="C479" t="s">
        <v>1146</v>
      </c>
      <c r="D479" s="182">
        <v>48.698999999999998</v>
      </c>
      <c r="E479" s="494">
        <v>40.412999999999997</v>
      </c>
    </row>
    <row r="480" spans="1:5" x14ac:dyDescent="0.3">
      <c r="A480" s="492" t="s">
        <v>89</v>
      </c>
      <c r="B480" s="493" t="s">
        <v>572</v>
      </c>
      <c r="C480" t="s">
        <v>1147</v>
      </c>
      <c r="D480" s="182">
        <v>424.15949999999998</v>
      </c>
      <c r="E480" s="494">
        <v>466.0385</v>
      </c>
    </row>
    <row r="481" spans="1:5" x14ac:dyDescent="0.3">
      <c r="A481" s="492" t="s">
        <v>89</v>
      </c>
      <c r="B481" s="493" t="s">
        <v>447</v>
      </c>
      <c r="C481" t="s">
        <v>1148</v>
      </c>
      <c r="D481" s="182">
        <v>317.83100000000002</v>
      </c>
      <c r="E481" s="494">
        <v>1400.9465</v>
      </c>
    </row>
    <row r="482" spans="1:5" x14ac:dyDescent="0.3">
      <c r="A482" s="492" t="s">
        <v>89</v>
      </c>
      <c r="B482" s="493" t="s">
        <v>573</v>
      </c>
      <c r="C482" t="s">
        <v>1149</v>
      </c>
      <c r="D482" s="182">
        <v>884.45100000000002</v>
      </c>
      <c r="E482" s="494">
        <v>1257.5645</v>
      </c>
    </row>
    <row r="483" spans="1:5" x14ac:dyDescent="0.3">
      <c r="A483" s="492" t="s">
        <v>89</v>
      </c>
      <c r="B483" s="493" t="s">
        <v>574</v>
      </c>
      <c r="C483" t="s">
        <v>1150</v>
      </c>
      <c r="D483" s="182">
        <v>1539.4829999999999</v>
      </c>
      <c r="E483" s="494">
        <v>2379.5</v>
      </c>
    </row>
    <row r="484" spans="1:5" x14ac:dyDescent="0.3">
      <c r="A484" s="492" t="s">
        <v>89</v>
      </c>
      <c r="B484" s="493" t="s">
        <v>535</v>
      </c>
      <c r="C484" t="s">
        <v>1151</v>
      </c>
      <c r="D484" s="182">
        <v>1147.6279999999999</v>
      </c>
      <c r="E484" s="494">
        <v>1424.1165000000001</v>
      </c>
    </row>
    <row r="485" spans="1:5" x14ac:dyDescent="0.3">
      <c r="A485" s="492" t="s">
        <v>89</v>
      </c>
      <c r="B485" s="493" t="s">
        <v>575</v>
      </c>
      <c r="C485" t="s">
        <v>1152</v>
      </c>
      <c r="D485" s="182">
        <v>331.83249999999998</v>
      </c>
      <c r="E485" s="494">
        <v>554.81650000000002</v>
      </c>
    </row>
    <row r="486" spans="1:5" x14ac:dyDescent="0.3">
      <c r="A486" s="492" t="s">
        <v>89</v>
      </c>
      <c r="B486" s="493" t="s">
        <v>575</v>
      </c>
      <c r="C486" t="s">
        <v>1146</v>
      </c>
      <c r="D486" s="182">
        <v>1326.4555</v>
      </c>
      <c r="E486" s="494">
        <v>1651.8230000000001</v>
      </c>
    </row>
    <row r="487" spans="1:5" x14ac:dyDescent="0.3">
      <c r="A487" s="492" t="s">
        <v>89</v>
      </c>
      <c r="B487" s="493" t="s">
        <v>576</v>
      </c>
      <c r="C487" t="s">
        <v>1153</v>
      </c>
      <c r="D487" s="182">
        <v>2.2675000000000001</v>
      </c>
      <c r="E487" s="494">
        <v>0.67900000000000005</v>
      </c>
    </row>
    <row r="488" spans="1:5" x14ac:dyDescent="0.3">
      <c r="A488" s="492" t="s">
        <v>89</v>
      </c>
      <c r="B488" s="493" t="s">
        <v>577</v>
      </c>
      <c r="C488" t="s">
        <v>1154</v>
      </c>
      <c r="D488" s="182">
        <v>98.235500000000002</v>
      </c>
      <c r="E488" s="494">
        <v>72.369</v>
      </c>
    </row>
    <row r="489" spans="1:5" x14ac:dyDescent="0.3">
      <c r="A489" s="664" t="s">
        <v>578</v>
      </c>
      <c r="B489" s="665"/>
      <c r="C489" s="666"/>
      <c r="D489" s="495">
        <v>8091.8459999999995</v>
      </c>
      <c r="E489" s="496">
        <v>11386.052</v>
      </c>
    </row>
    <row r="490" spans="1:5" x14ac:dyDescent="0.3">
      <c r="A490" s="492" t="s">
        <v>579</v>
      </c>
      <c r="B490" s="493" t="s">
        <v>580</v>
      </c>
      <c r="C490" t="s">
        <v>1155</v>
      </c>
      <c r="D490" s="182">
        <v>0.185</v>
      </c>
      <c r="E490" s="494">
        <v>0.04</v>
      </c>
    </row>
    <row r="491" spans="1:5" x14ac:dyDescent="0.3">
      <c r="A491" s="664" t="s">
        <v>581</v>
      </c>
      <c r="B491" s="665"/>
      <c r="C491" s="666"/>
      <c r="D491" s="495">
        <v>0.185</v>
      </c>
      <c r="E491" s="496">
        <v>0.04</v>
      </c>
    </row>
    <row r="492" spans="1:5" x14ac:dyDescent="0.3">
      <c r="A492" s="492" t="s">
        <v>1156</v>
      </c>
      <c r="B492" s="493" t="s">
        <v>582</v>
      </c>
      <c r="C492" t="s">
        <v>1157</v>
      </c>
      <c r="D492" s="182">
        <v>0.14249999999999999</v>
      </c>
      <c r="E492" s="494">
        <v>0</v>
      </c>
    </row>
    <row r="493" spans="1:5" x14ac:dyDescent="0.3">
      <c r="A493" s="492" t="s">
        <v>1156</v>
      </c>
      <c r="B493" s="493" t="s">
        <v>583</v>
      </c>
      <c r="C493" t="s">
        <v>1158</v>
      </c>
      <c r="D493" s="182">
        <v>63.838500000000003</v>
      </c>
      <c r="E493" s="494">
        <v>35.777500000000003</v>
      </c>
    </row>
    <row r="494" spans="1:5" x14ac:dyDescent="0.3">
      <c r="A494" s="492" t="s">
        <v>1156</v>
      </c>
      <c r="B494" s="493" t="s">
        <v>584</v>
      </c>
      <c r="C494" t="s">
        <v>1159</v>
      </c>
      <c r="D494" s="182">
        <v>561.33849999999995</v>
      </c>
      <c r="E494" s="494">
        <v>563.66849999999999</v>
      </c>
    </row>
    <row r="495" spans="1:5" x14ac:dyDescent="0.3">
      <c r="A495" s="664" t="s">
        <v>1160</v>
      </c>
      <c r="B495" s="665"/>
      <c r="C495" s="666"/>
      <c r="D495" s="495">
        <v>625.31949999999995</v>
      </c>
      <c r="E495" s="496">
        <v>599.44600000000003</v>
      </c>
    </row>
    <row r="496" spans="1:5" x14ac:dyDescent="0.3">
      <c r="A496" s="492" t="s">
        <v>90</v>
      </c>
      <c r="B496" s="493" t="s">
        <v>585</v>
      </c>
      <c r="C496" t="s">
        <v>1161</v>
      </c>
      <c r="D496" s="182">
        <v>112.32250000000001</v>
      </c>
      <c r="E496" s="494">
        <v>108.06</v>
      </c>
    </row>
    <row r="497" spans="1:5" x14ac:dyDescent="0.3">
      <c r="A497" s="492" t="s">
        <v>90</v>
      </c>
      <c r="B497" s="493" t="s">
        <v>586</v>
      </c>
      <c r="C497" t="s">
        <v>1162</v>
      </c>
      <c r="D497" s="182">
        <v>0.48949999999999999</v>
      </c>
      <c r="E497" s="494">
        <v>0.83199999999999996</v>
      </c>
    </row>
    <row r="498" spans="1:5" x14ac:dyDescent="0.3">
      <c r="A498" s="492" t="s">
        <v>90</v>
      </c>
      <c r="B498" s="493" t="s">
        <v>587</v>
      </c>
      <c r="C498" t="s">
        <v>1163</v>
      </c>
      <c r="D498" s="182">
        <v>45.127499999999998</v>
      </c>
      <c r="E498" s="494">
        <v>37.917499999999997</v>
      </c>
    </row>
    <row r="499" spans="1:5" x14ac:dyDescent="0.3">
      <c r="A499" s="492" t="s">
        <v>90</v>
      </c>
      <c r="B499" s="493" t="s">
        <v>587</v>
      </c>
      <c r="C499" t="s">
        <v>1164</v>
      </c>
      <c r="D499" s="182">
        <v>56.7515</v>
      </c>
      <c r="E499" s="494">
        <v>62.932000000000002</v>
      </c>
    </row>
    <row r="500" spans="1:5" x14ac:dyDescent="0.3">
      <c r="A500" s="492" t="s">
        <v>90</v>
      </c>
      <c r="B500" s="493" t="s">
        <v>588</v>
      </c>
      <c r="C500" t="s">
        <v>1165</v>
      </c>
      <c r="D500" s="182">
        <v>157.94149999999999</v>
      </c>
      <c r="E500" s="494">
        <v>194.85900000000001</v>
      </c>
    </row>
    <row r="501" spans="1:5" x14ac:dyDescent="0.3">
      <c r="A501" s="492" t="s">
        <v>90</v>
      </c>
      <c r="B501" s="493" t="s">
        <v>589</v>
      </c>
      <c r="C501" t="s">
        <v>1166</v>
      </c>
      <c r="D501" s="182">
        <v>299.72199999999998</v>
      </c>
      <c r="E501" s="494">
        <v>313.90100000000001</v>
      </c>
    </row>
    <row r="502" spans="1:5" x14ac:dyDescent="0.3">
      <c r="A502" s="492" t="s">
        <v>90</v>
      </c>
      <c r="B502" s="493" t="s">
        <v>589</v>
      </c>
      <c r="C502" t="s">
        <v>1167</v>
      </c>
      <c r="D502" s="182">
        <v>443.05599999999998</v>
      </c>
      <c r="E502" s="494">
        <v>590.01</v>
      </c>
    </row>
    <row r="503" spans="1:5" x14ac:dyDescent="0.3">
      <c r="A503" s="492" t="s">
        <v>90</v>
      </c>
      <c r="B503" s="493" t="s">
        <v>589</v>
      </c>
      <c r="C503" t="s">
        <v>1168</v>
      </c>
      <c r="D503" s="182">
        <v>300.17</v>
      </c>
      <c r="E503" s="494">
        <v>323.66500000000002</v>
      </c>
    </row>
    <row r="504" spans="1:5" x14ac:dyDescent="0.3">
      <c r="A504" s="492" t="s">
        <v>90</v>
      </c>
      <c r="B504" s="493" t="s">
        <v>590</v>
      </c>
      <c r="C504" t="s">
        <v>1169</v>
      </c>
      <c r="D504" s="182">
        <v>186.21449999999999</v>
      </c>
      <c r="E504" s="494">
        <v>38.826500000000003</v>
      </c>
    </row>
    <row r="505" spans="1:5" x14ac:dyDescent="0.3">
      <c r="A505" s="492" t="s">
        <v>90</v>
      </c>
      <c r="B505" s="493" t="s">
        <v>591</v>
      </c>
      <c r="C505" t="s">
        <v>1170</v>
      </c>
      <c r="D505" s="182">
        <v>66.104500000000002</v>
      </c>
      <c r="E505" s="494">
        <v>71.227999999999994</v>
      </c>
    </row>
    <row r="506" spans="1:5" x14ac:dyDescent="0.3">
      <c r="A506" s="492" t="s">
        <v>90</v>
      </c>
      <c r="B506" s="493" t="s">
        <v>368</v>
      </c>
      <c r="C506" t="s">
        <v>1171</v>
      </c>
      <c r="D506" s="182">
        <v>2.423</v>
      </c>
      <c r="E506" s="494">
        <v>1.8425</v>
      </c>
    </row>
    <row r="507" spans="1:5" x14ac:dyDescent="0.3">
      <c r="A507" s="492" t="s">
        <v>90</v>
      </c>
      <c r="B507" s="493" t="s">
        <v>592</v>
      </c>
      <c r="C507" t="s">
        <v>1172</v>
      </c>
      <c r="D507" s="182">
        <v>387.36900000000003</v>
      </c>
      <c r="E507" s="494">
        <v>307.99349999999998</v>
      </c>
    </row>
    <row r="508" spans="1:5" x14ac:dyDescent="0.3">
      <c r="A508" s="492" t="s">
        <v>90</v>
      </c>
      <c r="B508" s="493" t="s">
        <v>593</v>
      </c>
      <c r="C508" t="s">
        <v>1173</v>
      </c>
      <c r="D508" s="182">
        <v>354.94099999999997</v>
      </c>
      <c r="E508" s="494">
        <v>356.024</v>
      </c>
    </row>
    <row r="509" spans="1:5" x14ac:dyDescent="0.3">
      <c r="A509" s="492" t="s">
        <v>90</v>
      </c>
      <c r="B509" s="493" t="s">
        <v>594</v>
      </c>
      <c r="C509" t="s">
        <v>1174</v>
      </c>
      <c r="D509" s="182">
        <v>384.60199999999998</v>
      </c>
      <c r="E509" s="494">
        <v>390.21199999999999</v>
      </c>
    </row>
    <row r="510" spans="1:5" x14ac:dyDescent="0.3">
      <c r="A510" s="492" t="s">
        <v>90</v>
      </c>
      <c r="B510" s="493" t="s">
        <v>595</v>
      </c>
      <c r="C510" t="s">
        <v>1175</v>
      </c>
      <c r="D510" s="182">
        <v>80.760999999999996</v>
      </c>
      <c r="E510" s="494">
        <v>59.706000000000003</v>
      </c>
    </row>
    <row r="511" spans="1:5" x14ac:dyDescent="0.3">
      <c r="A511" s="492" t="s">
        <v>90</v>
      </c>
      <c r="B511" s="493" t="s">
        <v>595</v>
      </c>
      <c r="C511" t="s">
        <v>1176</v>
      </c>
      <c r="D511" s="182">
        <v>60.868000000000002</v>
      </c>
      <c r="E511" s="494">
        <v>34.301000000000002</v>
      </c>
    </row>
    <row r="512" spans="1:5" x14ac:dyDescent="0.3">
      <c r="A512" s="664" t="s">
        <v>596</v>
      </c>
      <c r="B512" s="665"/>
      <c r="C512" s="666"/>
      <c r="D512" s="495">
        <v>2938.8634999999999</v>
      </c>
      <c r="E512" s="496">
        <v>2892.31</v>
      </c>
    </row>
    <row r="513" spans="1:5" x14ac:dyDescent="0.3">
      <c r="A513" s="492" t="s">
        <v>91</v>
      </c>
      <c r="B513" s="493" t="s">
        <v>597</v>
      </c>
      <c r="C513" t="s">
        <v>1177</v>
      </c>
      <c r="D513" s="182">
        <v>635.76900000000001</v>
      </c>
      <c r="E513" s="494">
        <v>551.24400000000003</v>
      </c>
    </row>
    <row r="514" spans="1:5" x14ac:dyDescent="0.3">
      <c r="A514" s="492" t="s">
        <v>91</v>
      </c>
      <c r="B514" s="493" t="s">
        <v>597</v>
      </c>
      <c r="C514" t="s">
        <v>1178</v>
      </c>
      <c r="D514" s="182">
        <v>187.892</v>
      </c>
      <c r="E514" s="494">
        <v>133.65600000000001</v>
      </c>
    </row>
    <row r="515" spans="1:5" x14ac:dyDescent="0.3">
      <c r="A515" s="492" t="s">
        <v>91</v>
      </c>
      <c r="B515" s="493" t="s">
        <v>597</v>
      </c>
      <c r="C515" t="s">
        <v>1179</v>
      </c>
      <c r="D515" s="182">
        <v>574.69799999999998</v>
      </c>
      <c r="E515" s="494">
        <v>647.9425</v>
      </c>
    </row>
    <row r="516" spans="1:5" x14ac:dyDescent="0.3">
      <c r="A516" s="492" t="s">
        <v>91</v>
      </c>
      <c r="B516" s="493" t="s">
        <v>597</v>
      </c>
      <c r="C516" t="s">
        <v>1180</v>
      </c>
      <c r="D516" s="182">
        <v>1383.124</v>
      </c>
      <c r="E516" s="494">
        <v>1314.355</v>
      </c>
    </row>
    <row r="517" spans="1:5" x14ac:dyDescent="0.3">
      <c r="A517" s="492" t="s">
        <v>91</v>
      </c>
      <c r="B517" s="493" t="s">
        <v>597</v>
      </c>
      <c r="C517" t="s">
        <v>1181</v>
      </c>
      <c r="D517" s="182">
        <v>1612.6669999999999</v>
      </c>
      <c r="E517" s="494">
        <v>1988.951</v>
      </c>
    </row>
    <row r="518" spans="1:5" x14ac:dyDescent="0.3">
      <c r="A518" s="492" t="s">
        <v>91</v>
      </c>
      <c r="B518" s="493" t="s">
        <v>598</v>
      </c>
      <c r="C518" t="s">
        <v>1182</v>
      </c>
      <c r="D518" s="182">
        <v>26.265000000000001</v>
      </c>
      <c r="E518" s="494">
        <v>16.975000000000001</v>
      </c>
    </row>
    <row r="519" spans="1:5" x14ac:dyDescent="0.3">
      <c r="A519" s="492" t="s">
        <v>91</v>
      </c>
      <c r="B519" s="493" t="s">
        <v>366</v>
      </c>
      <c r="C519" t="s">
        <v>1183</v>
      </c>
      <c r="D519" s="182">
        <v>1.921</v>
      </c>
      <c r="E519" s="494">
        <v>0.84350000000000003</v>
      </c>
    </row>
    <row r="520" spans="1:5" x14ac:dyDescent="0.3">
      <c r="A520" s="492" t="s">
        <v>91</v>
      </c>
      <c r="B520" s="493" t="s">
        <v>599</v>
      </c>
      <c r="C520" t="s">
        <v>1184</v>
      </c>
      <c r="D520" s="182">
        <v>903.29499999999996</v>
      </c>
      <c r="E520" s="494">
        <v>902.98149999999998</v>
      </c>
    </row>
    <row r="521" spans="1:5" x14ac:dyDescent="0.3">
      <c r="A521" s="492" t="s">
        <v>91</v>
      </c>
      <c r="B521" s="493" t="s">
        <v>600</v>
      </c>
      <c r="C521" t="s">
        <v>1185</v>
      </c>
      <c r="D521" s="182">
        <v>46.31</v>
      </c>
      <c r="E521" s="494">
        <v>0</v>
      </c>
    </row>
    <row r="522" spans="1:5" x14ac:dyDescent="0.3">
      <c r="A522" s="492" t="s">
        <v>91</v>
      </c>
      <c r="B522" s="493" t="s">
        <v>601</v>
      </c>
      <c r="C522" t="s">
        <v>1186</v>
      </c>
      <c r="D522" s="182">
        <v>613.34550000000002</v>
      </c>
      <c r="E522" s="494">
        <v>591.93949999999995</v>
      </c>
    </row>
    <row r="523" spans="1:5" x14ac:dyDescent="0.3">
      <c r="A523" s="492" t="s">
        <v>91</v>
      </c>
      <c r="B523" s="493" t="s">
        <v>601</v>
      </c>
      <c r="C523" t="s">
        <v>1187</v>
      </c>
      <c r="D523" s="182">
        <v>487.31400000000002</v>
      </c>
      <c r="E523" s="494">
        <v>419.93549999999999</v>
      </c>
    </row>
    <row r="524" spans="1:5" x14ac:dyDescent="0.3">
      <c r="A524" s="492" t="s">
        <v>91</v>
      </c>
      <c r="B524" s="493" t="s">
        <v>602</v>
      </c>
      <c r="C524" t="s">
        <v>1188</v>
      </c>
      <c r="D524" s="182">
        <v>543.04999999999995</v>
      </c>
      <c r="E524" s="494">
        <v>551.16700000000003</v>
      </c>
    </row>
    <row r="525" spans="1:5" x14ac:dyDescent="0.3">
      <c r="A525" s="492" t="s">
        <v>91</v>
      </c>
      <c r="B525" s="493" t="s">
        <v>1189</v>
      </c>
      <c r="C525" t="s">
        <v>1190</v>
      </c>
      <c r="D525" s="182">
        <v>312.35550000000001</v>
      </c>
      <c r="E525" s="494">
        <v>387.01400000000001</v>
      </c>
    </row>
    <row r="526" spans="1:5" x14ac:dyDescent="0.3">
      <c r="A526" s="492" t="s">
        <v>91</v>
      </c>
      <c r="B526" s="493" t="s">
        <v>603</v>
      </c>
      <c r="C526" t="s">
        <v>1191</v>
      </c>
      <c r="D526" s="182">
        <v>61.358499999999999</v>
      </c>
      <c r="E526" s="494">
        <v>127.56100000000001</v>
      </c>
    </row>
    <row r="527" spans="1:5" x14ac:dyDescent="0.3">
      <c r="A527" s="492" t="s">
        <v>91</v>
      </c>
      <c r="B527" s="493" t="s">
        <v>603</v>
      </c>
      <c r="C527" t="s">
        <v>1185</v>
      </c>
      <c r="D527" s="182">
        <v>66.081500000000005</v>
      </c>
      <c r="E527" s="494">
        <v>34.948500000000003</v>
      </c>
    </row>
    <row r="528" spans="1:5" x14ac:dyDescent="0.3">
      <c r="A528" s="492" t="s">
        <v>91</v>
      </c>
      <c r="B528" s="493" t="s">
        <v>604</v>
      </c>
      <c r="C528" t="s">
        <v>1192</v>
      </c>
      <c r="D528" s="182">
        <v>128.98599999999999</v>
      </c>
      <c r="E528" s="494">
        <v>103.6615</v>
      </c>
    </row>
    <row r="529" spans="1:11" x14ac:dyDescent="0.3">
      <c r="A529" s="492" t="s">
        <v>91</v>
      </c>
      <c r="B529" s="493" t="s">
        <v>605</v>
      </c>
      <c r="C529" t="s">
        <v>1193</v>
      </c>
      <c r="D529" s="182">
        <v>1641.9645</v>
      </c>
      <c r="E529" s="494">
        <v>1765.3655000000001</v>
      </c>
    </row>
    <row r="530" spans="1:11" x14ac:dyDescent="0.3">
      <c r="A530" s="492" t="s">
        <v>91</v>
      </c>
      <c r="B530" s="493" t="s">
        <v>606</v>
      </c>
      <c r="C530" t="s">
        <v>1194</v>
      </c>
      <c r="D530" s="182">
        <v>2.0139999999999998</v>
      </c>
      <c r="E530" s="494">
        <v>1.972</v>
      </c>
    </row>
    <row r="531" spans="1:11" x14ac:dyDescent="0.3">
      <c r="A531" s="492" t="s">
        <v>91</v>
      </c>
      <c r="B531" s="493" t="s">
        <v>607</v>
      </c>
      <c r="C531" t="s">
        <v>1195</v>
      </c>
      <c r="D531" s="182">
        <v>175.17150000000001</v>
      </c>
      <c r="E531" s="494">
        <v>634.90099999999995</v>
      </c>
    </row>
    <row r="532" spans="1:11" x14ac:dyDescent="0.3">
      <c r="A532" s="492" t="s">
        <v>91</v>
      </c>
      <c r="B532" s="493" t="s">
        <v>608</v>
      </c>
      <c r="C532" t="s">
        <v>1196</v>
      </c>
      <c r="D532" s="182">
        <v>3.7414999999999998</v>
      </c>
      <c r="E532" s="494">
        <v>5.1565000000000003</v>
      </c>
      <c r="F532" s="500"/>
      <c r="G532" s="500"/>
    </row>
    <row r="533" spans="1:11" x14ac:dyDescent="0.3">
      <c r="A533" s="492" t="s">
        <v>91</v>
      </c>
      <c r="B533" s="493" t="s">
        <v>608</v>
      </c>
      <c r="C533" t="s">
        <v>1197</v>
      </c>
      <c r="D533" s="182">
        <v>14.433999999999999</v>
      </c>
      <c r="E533" s="494">
        <v>6.5250000000000004</v>
      </c>
    </row>
    <row r="534" spans="1:11" x14ac:dyDescent="0.3">
      <c r="A534" s="492" t="s">
        <v>91</v>
      </c>
      <c r="B534" s="493" t="s">
        <v>608</v>
      </c>
      <c r="C534" t="s">
        <v>1198</v>
      </c>
      <c r="D534" s="182">
        <v>1.5265</v>
      </c>
      <c r="E534" s="494">
        <v>1.4724999999999999</v>
      </c>
    </row>
    <row r="535" spans="1:11" x14ac:dyDescent="0.3">
      <c r="A535" s="492" t="s">
        <v>91</v>
      </c>
      <c r="B535" s="493" t="s">
        <v>368</v>
      </c>
      <c r="C535" t="s">
        <v>1177</v>
      </c>
      <c r="D535" s="182">
        <v>8.4715000000000007</v>
      </c>
      <c r="E535" s="494">
        <v>3.298</v>
      </c>
    </row>
    <row r="536" spans="1:11" x14ac:dyDescent="0.3">
      <c r="A536" s="492" t="s">
        <v>91</v>
      </c>
      <c r="B536" s="493" t="s">
        <v>609</v>
      </c>
      <c r="C536" t="s">
        <v>1199</v>
      </c>
      <c r="D536" s="182">
        <v>391.84800000000001</v>
      </c>
      <c r="E536" s="494">
        <v>239.114</v>
      </c>
    </row>
    <row r="537" spans="1:11" x14ac:dyDescent="0.3">
      <c r="A537" s="492" t="s">
        <v>91</v>
      </c>
      <c r="B537" s="493" t="s">
        <v>610</v>
      </c>
      <c r="C537" t="s">
        <v>1200</v>
      </c>
      <c r="D537" s="182">
        <v>1.091</v>
      </c>
      <c r="E537" s="494">
        <v>1.5965</v>
      </c>
    </row>
    <row r="538" spans="1:11" x14ac:dyDescent="0.3">
      <c r="A538" s="492" t="s">
        <v>91</v>
      </c>
      <c r="B538" s="493" t="s">
        <v>610</v>
      </c>
      <c r="C538" t="s">
        <v>1201</v>
      </c>
      <c r="D538" s="182">
        <v>1.6515</v>
      </c>
      <c r="E538" s="494">
        <v>1.675</v>
      </c>
    </row>
    <row r="539" spans="1:11" x14ac:dyDescent="0.3">
      <c r="A539" s="664" t="s">
        <v>611</v>
      </c>
      <c r="B539" s="665"/>
      <c r="C539" s="666"/>
      <c r="D539" s="495">
        <v>9826.3459999999995</v>
      </c>
      <c r="E539" s="496">
        <v>10434.2515</v>
      </c>
      <c r="I539" s="413"/>
      <c r="J539" s="413"/>
      <c r="K539" s="413"/>
    </row>
    <row r="540" spans="1:11" x14ac:dyDescent="0.3">
      <c r="A540" s="492" t="s">
        <v>612</v>
      </c>
      <c r="B540" s="493" t="s">
        <v>613</v>
      </c>
      <c r="C540" t="s">
        <v>1202</v>
      </c>
      <c r="D540" s="182">
        <v>116.642</v>
      </c>
      <c r="E540" s="494">
        <v>172.89699999999999</v>
      </c>
      <c r="I540" s="413"/>
      <c r="J540" s="413"/>
      <c r="K540" s="413"/>
    </row>
    <row r="541" spans="1:11" x14ac:dyDescent="0.3">
      <c r="A541" s="664" t="s">
        <v>614</v>
      </c>
      <c r="B541" s="665"/>
      <c r="C541" s="666"/>
      <c r="D541" s="495">
        <v>116.642</v>
      </c>
      <c r="E541" s="496">
        <v>172.89699999999999</v>
      </c>
    </row>
    <row r="542" spans="1:11" x14ac:dyDescent="0.3">
      <c r="A542" s="492" t="s">
        <v>615</v>
      </c>
      <c r="B542" s="493" t="s">
        <v>512</v>
      </c>
      <c r="C542" t="s">
        <v>1203</v>
      </c>
      <c r="D542" s="182">
        <v>17.266500000000001</v>
      </c>
      <c r="E542" s="494">
        <v>33.4495</v>
      </c>
      <c r="I542" s="413"/>
      <c r="J542" s="413"/>
      <c r="K542" s="413"/>
    </row>
    <row r="543" spans="1:11" x14ac:dyDescent="0.3">
      <c r="A543" s="664" t="s">
        <v>616</v>
      </c>
      <c r="B543" s="665"/>
      <c r="C543" s="666"/>
      <c r="D543" s="495">
        <v>17.266500000000001</v>
      </c>
      <c r="E543" s="496">
        <v>33.4495</v>
      </c>
    </row>
    <row r="544" spans="1:11" x14ac:dyDescent="0.3">
      <c r="A544" s="492" t="s">
        <v>617</v>
      </c>
      <c r="B544" s="493" t="s">
        <v>618</v>
      </c>
      <c r="C544" t="s">
        <v>1204</v>
      </c>
      <c r="D544" s="182">
        <v>1.1100000000000001</v>
      </c>
      <c r="E544" s="494">
        <v>0</v>
      </c>
    </row>
    <row r="545" spans="1:12" x14ac:dyDescent="0.3">
      <c r="A545" s="492" t="s">
        <v>617</v>
      </c>
      <c r="B545" s="493" t="s">
        <v>619</v>
      </c>
      <c r="C545" t="s">
        <v>1205</v>
      </c>
      <c r="D545" s="182">
        <v>4.2590000000000003</v>
      </c>
      <c r="E545" s="494">
        <v>1.4810000000000001</v>
      </c>
    </row>
    <row r="546" spans="1:12" x14ac:dyDescent="0.3">
      <c r="A546" s="492" t="s">
        <v>617</v>
      </c>
      <c r="B546" s="493" t="s">
        <v>620</v>
      </c>
      <c r="C546" t="s">
        <v>1206</v>
      </c>
      <c r="D546" s="182">
        <v>155.38999999999999</v>
      </c>
      <c r="E546" s="494">
        <v>51.66</v>
      </c>
    </row>
    <row r="547" spans="1:12" x14ac:dyDescent="0.3">
      <c r="A547" s="492" t="s">
        <v>617</v>
      </c>
      <c r="B547" s="493" t="s">
        <v>621</v>
      </c>
      <c r="C547" t="s">
        <v>1207</v>
      </c>
      <c r="D547" s="182">
        <v>109.6515</v>
      </c>
      <c r="E547" s="494">
        <v>295.113</v>
      </c>
    </row>
    <row r="548" spans="1:12" x14ac:dyDescent="0.3">
      <c r="A548" s="492" t="s">
        <v>617</v>
      </c>
      <c r="B548" s="493" t="s">
        <v>622</v>
      </c>
      <c r="C548" t="s">
        <v>1207</v>
      </c>
      <c r="D548" s="182">
        <v>20.579000000000001</v>
      </c>
      <c r="E548" s="494">
        <v>0</v>
      </c>
    </row>
    <row r="549" spans="1:12" x14ac:dyDescent="0.3">
      <c r="A549" s="664" t="s">
        <v>623</v>
      </c>
      <c r="B549" s="665"/>
      <c r="C549" s="666"/>
      <c r="D549" s="495">
        <v>290.98950000000002</v>
      </c>
      <c r="E549" s="496">
        <v>348.25400000000002</v>
      </c>
    </row>
    <row r="550" spans="1:12" x14ac:dyDescent="0.3">
      <c r="A550" s="492" t="s">
        <v>624</v>
      </c>
      <c r="B550" s="493" t="s">
        <v>625</v>
      </c>
      <c r="C550" t="s">
        <v>1208</v>
      </c>
      <c r="D550" s="182">
        <v>154.101</v>
      </c>
      <c r="E550" s="494">
        <v>35.271000000000001</v>
      </c>
    </row>
    <row r="551" spans="1:12" x14ac:dyDescent="0.3">
      <c r="A551" s="492" t="s">
        <v>624</v>
      </c>
      <c r="B551" s="493" t="s">
        <v>626</v>
      </c>
      <c r="C551" t="s">
        <v>1209</v>
      </c>
      <c r="D551" s="182">
        <v>675.09400000000005</v>
      </c>
      <c r="E551" s="494">
        <v>378.51499999999999</v>
      </c>
      <c r="I551" s="413"/>
      <c r="J551" s="413"/>
      <c r="K551" s="413"/>
      <c r="L551" s="413"/>
    </row>
    <row r="552" spans="1:12" x14ac:dyDescent="0.3">
      <c r="A552" s="492" t="s">
        <v>624</v>
      </c>
      <c r="B552" s="493" t="s">
        <v>627</v>
      </c>
      <c r="C552" t="s">
        <v>1209</v>
      </c>
      <c r="D552" s="182">
        <v>256.80250000000001</v>
      </c>
      <c r="E552" s="494">
        <v>405.65100000000001</v>
      </c>
      <c r="F552" s="501"/>
      <c r="G552" s="501"/>
      <c r="H552" s="501"/>
      <c r="I552" s="501"/>
    </row>
    <row r="553" spans="1:12" x14ac:dyDescent="0.3">
      <c r="A553" s="492" t="s">
        <v>624</v>
      </c>
      <c r="B553" s="493" t="s">
        <v>628</v>
      </c>
      <c r="C553" t="s">
        <v>1210</v>
      </c>
      <c r="D553" s="182">
        <v>12.115</v>
      </c>
      <c r="E553" s="494">
        <v>14.601000000000001</v>
      </c>
      <c r="F553" s="501"/>
      <c r="G553" s="501"/>
      <c r="H553" s="501"/>
      <c r="I553" s="501"/>
    </row>
    <row r="554" spans="1:12" x14ac:dyDescent="0.3">
      <c r="A554" s="664" t="s">
        <v>629</v>
      </c>
      <c r="B554" s="665"/>
      <c r="C554" s="666"/>
      <c r="D554" s="495">
        <v>1098.1125</v>
      </c>
      <c r="E554" s="496">
        <v>834.03800000000001</v>
      </c>
      <c r="F554" s="501"/>
      <c r="G554" s="501"/>
      <c r="H554" s="501"/>
      <c r="I554" s="501"/>
    </row>
    <row r="555" spans="1:12" x14ac:dyDescent="0.3">
      <c r="A555" s="492" t="s">
        <v>182</v>
      </c>
      <c r="B555" s="493" t="s">
        <v>630</v>
      </c>
      <c r="C555" t="s">
        <v>1211</v>
      </c>
      <c r="D555" s="182">
        <v>312.22449999999998</v>
      </c>
      <c r="E555" s="494">
        <v>372.64499999999998</v>
      </c>
      <c r="F555" s="501"/>
      <c r="G555" s="501"/>
      <c r="H555" s="501"/>
      <c r="I555" s="501"/>
    </row>
    <row r="556" spans="1:12" x14ac:dyDescent="0.3">
      <c r="A556" s="492" t="s">
        <v>182</v>
      </c>
      <c r="B556" s="493" t="s">
        <v>631</v>
      </c>
      <c r="C556" t="s">
        <v>1212</v>
      </c>
      <c r="D556" s="182">
        <v>131.91849999999999</v>
      </c>
      <c r="E556" s="494">
        <v>151.83750000000001</v>
      </c>
      <c r="F556" s="501"/>
      <c r="G556" s="501"/>
      <c r="H556" s="501"/>
      <c r="I556" s="501"/>
    </row>
    <row r="557" spans="1:12" x14ac:dyDescent="0.3">
      <c r="A557" s="492" t="s">
        <v>182</v>
      </c>
      <c r="B557" s="493" t="s">
        <v>631</v>
      </c>
      <c r="C557" t="s">
        <v>1213</v>
      </c>
      <c r="D557" s="182">
        <v>173.1885</v>
      </c>
      <c r="E557" s="494">
        <v>171.83699999999999</v>
      </c>
      <c r="F557" s="501"/>
      <c r="G557" s="501"/>
      <c r="H557" s="501"/>
      <c r="I557" s="501"/>
    </row>
    <row r="558" spans="1:12" x14ac:dyDescent="0.3">
      <c r="A558" s="492" t="s">
        <v>182</v>
      </c>
      <c r="B558" s="493" t="s">
        <v>631</v>
      </c>
      <c r="C558" t="s">
        <v>1214</v>
      </c>
      <c r="D558" s="182">
        <v>142.12200000000001</v>
      </c>
      <c r="E558" s="494">
        <v>158.8075</v>
      </c>
      <c r="F558" s="501"/>
      <c r="G558" s="501"/>
      <c r="H558" s="501"/>
      <c r="I558" s="501"/>
    </row>
    <row r="559" spans="1:12" x14ac:dyDescent="0.3">
      <c r="A559" s="492" t="s">
        <v>182</v>
      </c>
      <c r="B559" s="493" t="s">
        <v>632</v>
      </c>
      <c r="C559" t="s">
        <v>1215</v>
      </c>
      <c r="D559" s="182">
        <v>142.47149999999999</v>
      </c>
      <c r="E559" s="494">
        <v>133.40549999999999</v>
      </c>
    </row>
    <row r="560" spans="1:12" x14ac:dyDescent="0.3">
      <c r="A560" s="492" t="s">
        <v>182</v>
      </c>
      <c r="B560" s="493" t="s">
        <v>633</v>
      </c>
      <c r="C560" t="s">
        <v>1216</v>
      </c>
      <c r="D560" s="182">
        <v>87.555499999999995</v>
      </c>
      <c r="E560" s="494">
        <v>86.772999999999996</v>
      </c>
    </row>
    <row r="561" spans="1:5" x14ac:dyDescent="0.3">
      <c r="A561" s="492" t="s">
        <v>182</v>
      </c>
      <c r="B561" s="493" t="s">
        <v>634</v>
      </c>
      <c r="C561" t="s">
        <v>1217</v>
      </c>
      <c r="D561" s="182">
        <v>9.4990000000000006</v>
      </c>
      <c r="E561" s="494">
        <v>10.483000000000001</v>
      </c>
    </row>
    <row r="562" spans="1:5" x14ac:dyDescent="0.3">
      <c r="A562" s="492" t="s">
        <v>182</v>
      </c>
      <c r="B562" s="493" t="s">
        <v>635</v>
      </c>
      <c r="C562" t="s">
        <v>1218</v>
      </c>
      <c r="D562" s="182">
        <v>0.03</v>
      </c>
      <c r="E562" s="494">
        <v>0</v>
      </c>
    </row>
    <row r="563" spans="1:5" x14ac:dyDescent="0.3">
      <c r="A563" s="664" t="s">
        <v>636</v>
      </c>
      <c r="B563" s="665"/>
      <c r="C563" s="666"/>
      <c r="D563" s="495">
        <v>999.0095</v>
      </c>
      <c r="E563" s="496">
        <v>1085.7885000000001</v>
      </c>
    </row>
    <row r="564" spans="1:5" x14ac:dyDescent="0.3">
      <c r="A564" s="492" t="s">
        <v>637</v>
      </c>
      <c r="B564" s="493" t="s">
        <v>638</v>
      </c>
      <c r="C564" t="s">
        <v>1219</v>
      </c>
      <c r="D564" s="182">
        <v>15.978</v>
      </c>
      <c r="E564" s="494">
        <v>19.283000000000001</v>
      </c>
    </row>
    <row r="565" spans="1:5" x14ac:dyDescent="0.3">
      <c r="A565" s="492" t="s">
        <v>637</v>
      </c>
      <c r="B565" s="493" t="s">
        <v>306</v>
      </c>
      <c r="C565" t="s">
        <v>1220</v>
      </c>
      <c r="D565" s="182">
        <v>44.037999999999997</v>
      </c>
      <c r="E565" s="494">
        <v>39.935000000000002</v>
      </c>
    </row>
    <row r="566" spans="1:5" x14ac:dyDescent="0.3">
      <c r="A566" s="492" t="s">
        <v>637</v>
      </c>
      <c r="B566" s="493" t="s">
        <v>639</v>
      </c>
      <c r="C566" t="s">
        <v>1221</v>
      </c>
      <c r="D566" s="182">
        <v>16.8005</v>
      </c>
      <c r="E566" s="494">
        <v>17.041499999999999</v>
      </c>
    </row>
    <row r="567" spans="1:5" x14ac:dyDescent="0.3">
      <c r="A567" s="492" t="s">
        <v>637</v>
      </c>
      <c r="B567" s="493" t="s">
        <v>640</v>
      </c>
      <c r="C567" t="s">
        <v>1222</v>
      </c>
      <c r="D567" s="182">
        <v>224.779</v>
      </c>
      <c r="E567" s="494">
        <v>250.90649999999999</v>
      </c>
    </row>
    <row r="568" spans="1:5" x14ac:dyDescent="0.3">
      <c r="A568" s="492" t="s">
        <v>637</v>
      </c>
      <c r="B568" s="493" t="s">
        <v>357</v>
      </c>
      <c r="C568" t="s">
        <v>1223</v>
      </c>
      <c r="D568" s="182">
        <v>2.5434999999999999</v>
      </c>
      <c r="E568" s="494">
        <v>3.2109999999999999</v>
      </c>
    </row>
    <row r="569" spans="1:5" x14ac:dyDescent="0.3">
      <c r="A569" s="664" t="s">
        <v>641</v>
      </c>
      <c r="B569" s="665"/>
      <c r="C569" s="666"/>
      <c r="D569" s="495">
        <v>304.13900000000001</v>
      </c>
      <c r="E569" s="496">
        <v>330.37700000000001</v>
      </c>
    </row>
    <row r="570" spans="1:5" x14ac:dyDescent="0.3">
      <c r="A570" s="492" t="s">
        <v>642</v>
      </c>
      <c r="B570" s="493" t="s">
        <v>449</v>
      </c>
      <c r="C570" t="s">
        <v>1224</v>
      </c>
      <c r="D570" s="182">
        <v>1</v>
      </c>
      <c r="E570" s="494">
        <v>0.65200000000000002</v>
      </c>
    </row>
    <row r="571" spans="1:5" x14ac:dyDescent="0.3">
      <c r="A571" s="664" t="s">
        <v>643</v>
      </c>
      <c r="B571" s="665"/>
      <c r="C571" s="666"/>
      <c r="D571" s="495">
        <v>1</v>
      </c>
      <c r="E571" s="496">
        <v>0.65200000000000002</v>
      </c>
    </row>
    <row r="572" spans="1:5" x14ac:dyDescent="0.3">
      <c r="A572" s="492" t="s">
        <v>644</v>
      </c>
      <c r="B572" s="493" t="s">
        <v>645</v>
      </c>
      <c r="C572" t="s">
        <v>1225</v>
      </c>
      <c r="D572" s="182">
        <v>17.682500000000001</v>
      </c>
      <c r="E572" s="494">
        <v>14.579000000000001</v>
      </c>
    </row>
    <row r="573" spans="1:5" x14ac:dyDescent="0.3">
      <c r="A573" s="492" t="s">
        <v>644</v>
      </c>
      <c r="B573" s="493" t="s">
        <v>646</v>
      </c>
      <c r="C573" t="s">
        <v>1226</v>
      </c>
      <c r="D573" s="182">
        <v>5.9535</v>
      </c>
      <c r="E573" s="494">
        <v>5.1070000000000002</v>
      </c>
    </row>
    <row r="574" spans="1:5" x14ac:dyDescent="0.3">
      <c r="A574" s="664" t="s">
        <v>647</v>
      </c>
      <c r="B574" s="665"/>
      <c r="C574" s="666"/>
      <c r="D574" s="495">
        <v>23.635999999999999</v>
      </c>
      <c r="E574" s="496">
        <v>19.686</v>
      </c>
    </row>
    <row r="575" spans="1:5" x14ac:dyDescent="0.3">
      <c r="A575" s="492" t="s">
        <v>648</v>
      </c>
      <c r="B575" s="493" t="s">
        <v>1227</v>
      </c>
      <c r="C575" t="s">
        <v>1228</v>
      </c>
      <c r="D575" s="182">
        <v>0</v>
      </c>
      <c r="E575" s="494">
        <v>2.9119999999999999</v>
      </c>
    </row>
    <row r="576" spans="1:5" x14ac:dyDescent="0.3">
      <c r="A576" s="492" t="s">
        <v>648</v>
      </c>
      <c r="B576" s="493" t="s">
        <v>649</v>
      </c>
      <c r="C576" t="s">
        <v>1228</v>
      </c>
      <c r="D576" s="182">
        <v>18.2485</v>
      </c>
      <c r="E576" s="494">
        <v>8.0395000000000003</v>
      </c>
    </row>
    <row r="577" spans="1:5" x14ac:dyDescent="0.3">
      <c r="A577" s="664" t="s">
        <v>650</v>
      </c>
      <c r="B577" s="665"/>
      <c r="C577" s="666"/>
      <c r="D577" s="495">
        <v>18.2485</v>
      </c>
      <c r="E577" s="496">
        <v>10.951499999999999</v>
      </c>
    </row>
    <row r="578" spans="1:5" x14ac:dyDescent="0.3">
      <c r="A578" s="492" t="s">
        <v>651</v>
      </c>
      <c r="B578" s="493" t="s">
        <v>652</v>
      </c>
      <c r="C578" t="s">
        <v>1229</v>
      </c>
      <c r="D578" s="182">
        <v>8.5730000000000004</v>
      </c>
      <c r="E578" s="494">
        <v>4.1615000000000002</v>
      </c>
    </row>
    <row r="579" spans="1:5" x14ac:dyDescent="0.3">
      <c r="A579" s="664" t="s">
        <v>653</v>
      </c>
      <c r="B579" s="665"/>
      <c r="C579" s="666"/>
      <c r="D579" s="495">
        <v>8.5730000000000004</v>
      </c>
      <c r="E579" s="496">
        <v>4.1615000000000002</v>
      </c>
    </row>
    <row r="580" spans="1:5" x14ac:dyDescent="0.3">
      <c r="A580" s="492" t="s">
        <v>1239</v>
      </c>
      <c r="B580" s="493" t="s">
        <v>597</v>
      </c>
      <c r="C580" t="s">
        <v>1230</v>
      </c>
      <c r="D580" s="182">
        <v>79.926500000000004</v>
      </c>
      <c r="E580" s="494">
        <v>397.05799999999999</v>
      </c>
    </row>
    <row r="581" spans="1:5" x14ac:dyDescent="0.3">
      <c r="A581" s="492" t="s">
        <v>1239</v>
      </c>
      <c r="B581" s="493" t="s">
        <v>368</v>
      </c>
      <c r="C581" t="s">
        <v>1231</v>
      </c>
      <c r="D581" s="182">
        <v>2.0550000000000002</v>
      </c>
      <c r="E581" s="494">
        <v>1.2575000000000001</v>
      </c>
    </row>
    <row r="582" spans="1:5" x14ac:dyDescent="0.3">
      <c r="A582" s="492" t="s">
        <v>1239</v>
      </c>
      <c r="B582" s="493" t="s">
        <v>655</v>
      </c>
      <c r="C582" t="s">
        <v>1230</v>
      </c>
      <c r="D582" s="182">
        <v>23.788</v>
      </c>
      <c r="E582" s="494">
        <v>39.286000000000001</v>
      </c>
    </row>
    <row r="583" spans="1:5" x14ac:dyDescent="0.3">
      <c r="A583" s="492" t="s">
        <v>1239</v>
      </c>
      <c r="B583" s="493" t="s">
        <v>655</v>
      </c>
      <c r="C583" t="s">
        <v>1232</v>
      </c>
      <c r="D583" s="182">
        <v>125.351</v>
      </c>
      <c r="E583" s="494">
        <v>42.482999999999997</v>
      </c>
    </row>
    <row r="584" spans="1:5" x14ac:dyDescent="0.3">
      <c r="A584" s="492" t="s">
        <v>1239</v>
      </c>
      <c r="B584" s="493" t="s">
        <v>309</v>
      </c>
      <c r="C584" t="s">
        <v>1233</v>
      </c>
      <c r="D584" s="182">
        <v>1.143</v>
      </c>
      <c r="E584" s="494">
        <v>0.73350000000000004</v>
      </c>
    </row>
    <row r="585" spans="1:5" x14ac:dyDescent="0.3">
      <c r="A585" s="492" t="s">
        <v>1239</v>
      </c>
      <c r="B585" s="493" t="s">
        <v>654</v>
      </c>
      <c r="C585" t="s">
        <v>1234</v>
      </c>
      <c r="D585" s="182">
        <v>0.20799999999999999</v>
      </c>
      <c r="E585" s="494">
        <v>0.54400000000000004</v>
      </c>
    </row>
    <row r="586" spans="1:5" x14ac:dyDescent="0.3">
      <c r="A586" s="492" t="s">
        <v>1239</v>
      </c>
      <c r="B586" s="493" t="s">
        <v>528</v>
      </c>
      <c r="C586" t="s">
        <v>1235</v>
      </c>
      <c r="D586" s="182">
        <v>0</v>
      </c>
      <c r="E586" s="494">
        <v>363.1705</v>
      </c>
    </row>
    <row r="587" spans="1:5" x14ac:dyDescent="0.3">
      <c r="A587" s="492" t="s">
        <v>1239</v>
      </c>
      <c r="B587" s="493" t="s">
        <v>368</v>
      </c>
      <c r="C587" t="s">
        <v>1236</v>
      </c>
      <c r="D587" s="182">
        <v>13.003500000000001</v>
      </c>
      <c r="E587" s="494">
        <v>16.869</v>
      </c>
    </row>
    <row r="588" spans="1:5" x14ac:dyDescent="0.3">
      <c r="A588" s="492" t="s">
        <v>1239</v>
      </c>
      <c r="B588" s="493" t="s">
        <v>368</v>
      </c>
      <c r="C588" t="s">
        <v>1237</v>
      </c>
      <c r="D588" s="182">
        <v>26.257000000000001</v>
      </c>
      <c r="E588" s="494">
        <v>13.2285</v>
      </c>
    </row>
    <row r="589" spans="1:5" x14ac:dyDescent="0.3">
      <c r="A589" s="492" t="s">
        <v>1239</v>
      </c>
      <c r="B589" s="493" t="s">
        <v>368</v>
      </c>
      <c r="C589" t="s">
        <v>1238</v>
      </c>
      <c r="D589" s="182">
        <v>10.189</v>
      </c>
      <c r="E589" s="494">
        <v>8.4064999999999994</v>
      </c>
    </row>
    <row r="590" spans="1:5" x14ac:dyDescent="0.3">
      <c r="A590" s="664" t="s">
        <v>656</v>
      </c>
      <c r="B590" s="665"/>
      <c r="C590" s="666"/>
      <c r="D590" s="495">
        <v>281.92099999999999</v>
      </c>
      <c r="E590" s="496">
        <v>883.03650000000016</v>
      </c>
    </row>
    <row r="591" spans="1:5" ht="15" thickBot="1" x14ac:dyDescent="0.35">
      <c r="A591" s="661" t="s">
        <v>657</v>
      </c>
      <c r="B591" s="662"/>
      <c r="C591" s="663"/>
      <c r="D591" s="502">
        <v>127532.796</v>
      </c>
      <c r="E591" s="503">
        <v>134871.18100000001</v>
      </c>
    </row>
  </sheetData>
  <mergeCells count="32">
    <mergeCell ref="A491:C491"/>
    <mergeCell ref="A213:C213"/>
    <mergeCell ref="A354:C354"/>
    <mergeCell ref="A366:C366"/>
    <mergeCell ref="A436:C436"/>
    <mergeCell ref="A476:C476"/>
    <mergeCell ref="A178:C178"/>
    <mergeCell ref="A187:C187"/>
    <mergeCell ref="A190:C190"/>
    <mergeCell ref="A192:C192"/>
    <mergeCell ref="A211:C211"/>
    <mergeCell ref="A5:E5"/>
    <mergeCell ref="A10:C10"/>
    <mergeCell ref="A12:C12"/>
    <mergeCell ref="A21:C21"/>
    <mergeCell ref="A24:C24"/>
    <mergeCell ref="A591:C591"/>
    <mergeCell ref="A569:C569"/>
    <mergeCell ref="A489:C489"/>
    <mergeCell ref="A495:C495"/>
    <mergeCell ref="A512:C512"/>
    <mergeCell ref="A539:C539"/>
    <mergeCell ref="A541:C541"/>
    <mergeCell ref="A543:C543"/>
    <mergeCell ref="A549:C549"/>
    <mergeCell ref="A554:C554"/>
    <mergeCell ref="A563:C563"/>
    <mergeCell ref="A571:C571"/>
    <mergeCell ref="A574:C574"/>
    <mergeCell ref="A577:C577"/>
    <mergeCell ref="A579:C579"/>
    <mergeCell ref="A590:C590"/>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D549B-69DC-4622-93E1-C1CF0B031AA2}">
  <sheetPr codeName="Sheet20"/>
  <dimension ref="A1:O101"/>
  <sheetViews>
    <sheetView showGridLines="0" zoomScale="85" zoomScaleNormal="85" workbookViewId="0"/>
  </sheetViews>
  <sheetFormatPr defaultColWidth="9.109375" defaultRowHeight="14.4" x14ac:dyDescent="0.3"/>
  <cols>
    <col min="1" max="1" width="52.88671875" bestFit="1" customWidth="1"/>
    <col min="2" max="5" width="9" customWidth="1"/>
    <col min="6" max="15" width="10.33203125" bestFit="1" customWidth="1"/>
  </cols>
  <sheetData>
    <row r="1" spans="1:15" x14ac:dyDescent="0.3">
      <c r="B1" s="386"/>
      <c r="C1" s="386"/>
      <c r="D1" s="386"/>
      <c r="E1" s="386"/>
      <c r="F1" s="386"/>
      <c r="G1" s="386"/>
      <c r="H1" s="386"/>
      <c r="I1" s="386"/>
      <c r="J1" s="386"/>
      <c r="K1" s="386"/>
      <c r="L1" s="386"/>
      <c r="M1" s="386"/>
      <c r="N1" s="386"/>
      <c r="O1" s="386"/>
    </row>
    <row r="5" spans="1:15" x14ac:dyDescent="0.3">
      <c r="B5" s="108"/>
      <c r="C5" s="108"/>
      <c r="D5" s="108"/>
      <c r="E5" s="108"/>
      <c r="F5" s="108"/>
      <c r="G5" s="108"/>
      <c r="H5" s="418"/>
      <c r="I5" s="107"/>
      <c r="J5" s="107"/>
      <c r="K5" s="107"/>
      <c r="L5" s="107"/>
      <c r="M5" s="107"/>
      <c r="N5" s="107"/>
      <c r="O5" s="107"/>
    </row>
    <row r="6" spans="1:15" ht="15" thickBot="1" x14ac:dyDescent="0.35">
      <c r="A6" s="387" t="s">
        <v>658</v>
      </c>
      <c r="B6" s="108"/>
      <c r="C6" s="108"/>
      <c r="D6" s="108"/>
      <c r="E6" s="108"/>
      <c r="F6" s="504"/>
      <c r="G6" s="504"/>
      <c r="H6" s="504"/>
      <c r="I6" s="108"/>
      <c r="J6" s="108"/>
      <c r="K6" s="108"/>
      <c r="L6" s="108"/>
      <c r="M6" s="107"/>
      <c r="N6" s="107"/>
      <c r="O6" s="107"/>
    </row>
    <row r="7" spans="1:15" x14ac:dyDescent="0.3">
      <c r="A7" s="388" t="s">
        <v>82</v>
      </c>
      <c r="B7" s="415">
        <v>1987</v>
      </c>
      <c r="C7" s="415">
        <v>1988</v>
      </c>
      <c r="D7" s="415">
        <v>1989</v>
      </c>
      <c r="E7" s="415">
        <v>1990</v>
      </c>
      <c r="F7" s="415">
        <v>1991</v>
      </c>
      <c r="G7" s="415">
        <v>1992</v>
      </c>
      <c r="H7" s="415">
        <v>1993</v>
      </c>
      <c r="I7" s="415">
        <v>1994</v>
      </c>
      <c r="J7" s="415">
        <v>1995</v>
      </c>
      <c r="K7" s="415">
        <v>1996</v>
      </c>
      <c r="L7" s="415">
        <v>1997</v>
      </c>
      <c r="M7" s="415">
        <v>1998</v>
      </c>
      <c r="N7" s="505">
        <v>1999</v>
      </c>
      <c r="O7" s="506">
        <v>2000</v>
      </c>
    </row>
    <row r="8" spans="1:15" x14ac:dyDescent="0.3">
      <c r="A8" s="400" t="s">
        <v>85</v>
      </c>
      <c r="B8" s="418">
        <v>4022</v>
      </c>
      <c r="C8" s="418">
        <v>4654</v>
      </c>
      <c r="D8" s="418">
        <v>5060</v>
      </c>
      <c r="E8" s="418">
        <v>5535</v>
      </c>
      <c r="F8" s="418">
        <v>5184</v>
      </c>
      <c r="G8" s="418">
        <v>5278</v>
      </c>
      <c r="H8" s="418">
        <v>5702</v>
      </c>
      <c r="I8" s="418">
        <v>5681</v>
      </c>
      <c r="J8" s="418">
        <v>5936</v>
      </c>
      <c r="K8" s="418">
        <v>5515</v>
      </c>
      <c r="L8" s="418">
        <v>5777</v>
      </c>
      <c r="M8" s="418">
        <v>6718</v>
      </c>
      <c r="N8" s="418">
        <v>7605</v>
      </c>
      <c r="O8" s="507">
        <v>6706</v>
      </c>
    </row>
    <row r="9" spans="1:15" x14ac:dyDescent="0.3">
      <c r="A9" s="400" t="s">
        <v>86</v>
      </c>
      <c r="B9" s="422">
        <v>160</v>
      </c>
      <c r="C9" s="422">
        <v>138</v>
      </c>
      <c r="D9" s="422">
        <v>249</v>
      </c>
      <c r="E9" s="422">
        <v>451</v>
      </c>
      <c r="F9" s="422">
        <v>485</v>
      </c>
      <c r="G9" s="422">
        <v>620</v>
      </c>
      <c r="H9" s="422">
        <v>632</v>
      </c>
      <c r="I9" s="422">
        <v>492</v>
      </c>
      <c r="J9" s="422">
        <v>639</v>
      </c>
      <c r="K9" s="422">
        <v>766</v>
      </c>
      <c r="L9" s="422">
        <v>1025</v>
      </c>
      <c r="M9" s="422">
        <v>1210</v>
      </c>
      <c r="N9" s="422">
        <v>1205</v>
      </c>
      <c r="O9" s="508">
        <v>1331</v>
      </c>
    </row>
    <row r="10" spans="1:15" x14ac:dyDescent="0.3">
      <c r="A10" s="400" t="s">
        <v>179</v>
      </c>
      <c r="B10" s="418">
        <v>1163</v>
      </c>
      <c r="C10" s="418">
        <v>1261</v>
      </c>
      <c r="D10" s="418">
        <v>1249</v>
      </c>
      <c r="E10" s="418">
        <v>1309</v>
      </c>
      <c r="F10" s="418">
        <v>1152</v>
      </c>
      <c r="G10" s="418">
        <v>1091</v>
      </c>
      <c r="H10" s="418">
        <v>1080</v>
      </c>
      <c r="I10" s="418">
        <v>763</v>
      </c>
      <c r="J10" s="418">
        <v>740</v>
      </c>
      <c r="K10" s="418">
        <v>780</v>
      </c>
      <c r="L10" s="418">
        <v>740</v>
      </c>
      <c r="M10" s="418">
        <v>693</v>
      </c>
      <c r="N10" s="418">
        <v>696</v>
      </c>
      <c r="O10" s="507">
        <v>709</v>
      </c>
    </row>
    <row r="11" spans="1:15" x14ac:dyDescent="0.3">
      <c r="A11" s="400" t="s">
        <v>138</v>
      </c>
      <c r="B11" s="422">
        <v>128</v>
      </c>
      <c r="C11" s="422">
        <v>754</v>
      </c>
      <c r="D11" s="422">
        <v>904</v>
      </c>
      <c r="E11" s="422">
        <v>950</v>
      </c>
      <c r="F11" s="422">
        <v>993</v>
      </c>
      <c r="G11" s="422">
        <v>1116</v>
      </c>
      <c r="H11" s="422">
        <v>1190</v>
      </c>
      <c r="I11" s="422">
        <v>1256</v>
      </c>
      <c r="J11" s="422">
        <v>1192</v>
      </c>
      <c r="K11" s="422">
        <v>1116</v>
      </c>
      <c r="L11" s="422">
        <v>1003</v>
      </c>
      <c r="M11" s="422">
        <v>900</v>
      </c>
      <c r="N11" s="422">
        <v>742</v>
      </c>
      <c r="O11" s="508">
        <v>940</v>
      </c>
    </row>
    <row r="12" spans="1:15" x14ac:dyDescent="0.3">
      <c r="A12" s="400" t="s">
        <v>87</v>
      </c>
      <c r="B12" s="418">
        <v>3368</v>
      </c>
      <c r="C12" s="418">
        <v>9373</v>
      </c>
      <c r="D12" s="418">
        <v>10314</v>
      </c>
      <c r="E12" s="418">
        <v>10930</v>
      </c>
      <c r="F12" s="418">
        <v>9679</v>
      </c>
      <c r="G12" s="418">
        <v>10013</v>
      </c>
      <c r="H12" s="418">
        <v>11865</v>
      </c>
      <c r="I12" s="418">
        <v>11884</v>
      </c>
      <c r="J12" s="418">
        <v>11909</v>
      </c>
      <c r="K12" s="418">
        <v>13080</v>
      </c>
      <c r="L12" s="418">
        <v>12806</v>
      </c>
      <c r="M12" s="418">
        <v>12145</v>
      </c>
      <c r="N12" s="418">
        <v>12277</v>
      </c>
      <c r="O12" s="507">
        <v>10879</v>
      </c>
    </row>
    <row r="13" spans="1:15" x14ac:dyDescent="0.3">
      <c r="A13" s="400" t="s">
        <v>88</v>
      </c>
      <c r="B13" s="422">
        <v>9920</v>
      </c>
      <c r="C13" s="422">
        <v>8466</v>
      </c>
      <c r="D13" s="422">
        <v>8945</v>
      </c>
      <c r="E13" s="422">
        <v>9183</v>
      </c>
      <c r="F13" s="422">
        <v>8817</v>
      </c>
      <c r="G13" s="422">
        <v>8196</v>
      </c>
      <c r="H13" s="422">
        <v>6703</v>
      </c>
      <c r="I13" s="422">
        <v>6990</v>
      </c>
      <c r="J13" s="422">
        <v>7637</v>
      </c>
      <c r="K13" s="422">
        <v>8867</v>
      </c>
      <c r="L13" s="422">
        <v>8182</v>
      </c>
      <c r="M13" s="422">
        <v>7911</v>
      </c>
      <c r="N13" s="422">
        <v>8184</v>
      </c>
      <c r="O13" s="508">
        <v>8604</v>
      </c>
    </row>
    <row r="14" spans="1:15" x14ac:dyDescent="0.3">
      <c r="A14" s="400" t="s">
        <v>90</v>
      </c>
      <c r="B14" s="418">
        <v>628</v>
      </c>
      <c r="C14" s="418">
        <v>1415</v>
      </c>
      <c r="D14" s="418">
        <v>1728</v>
      </c>
      <c r="E14" s="418">
        <v>1898</v>
      </c>
      <c r="F14" s="418">
        <v>1619</v>
      </c>
      <c r="G14" s="418">
        <v>1741</v>
      </c>
      <c r="H14" s="418">
        <v>1640</v>
      </c>
      <c r="I14" s="418">
        <v>1724</v>
      </c>
      <c r="J14" s="418">
        <v>2011</v>
      </c>
      <c r="K14" s="418">
        <v>2721</v>
      </c>
      <c r="L14" s="418">
        <v>2434</v>
      </c>
      <c r="M14" s="418">
        <v>1963</v>
      </c>
      <c r="N14" s="418">
        <v>2767</v>
      </c>
      <c r="O14" s="507">
        <v>2243</v>
      </c>
    </row>
    <row r="15" spans="1:15" x14ac:dyDescent="0.3">
      <c r="A15" s="400" t="s">
        <v>91</v>
      </c>
      <c r="B15" s="422">
        <v>2911</v>
      </c>
      <c r="C15" s="422">
        <v>3036</v>
      </c>
      <c r="D15" s="422">
        <v>3404</v>
      </c>
      <c r="E15" s="422">
        <v>3262</v>
      </c>
      <c r="F15" s="422">
        <v>2983</v>
      </c>
      <c r="G15" s="422">
        <v>2841</v>
      </c>
      <c r="H15" s="422">
        <v>3858</v>
      </c>
      <c r="I15" s="422">
        <v>3169</v>
      </c>
      <c r="J15" s="422">
        <v>3498</v>
      </c>
      <c r="K15" s="422">
        <v>3698</v>
      </c>
      <c r="L15" s="422">
        <v>4534</v>
      </c>
      <c r="M15" s="422">
        <v>5705</v>
      </c>
      <c r="N15" s="422">
        <v>5219</v>
      </c>
      <c r="O15" s="508">
        <v>5038</v>
      </c>
    </row>
    <row r="16" spans="1:15" x14ac:dyDescent="0.3">
      <c r="A16" s="400" t="s">
        <v>182</v>
      </c>
      <c r="B16" s="418">
        <v>401</v>
      </c>
      <c r="C16" s="418">
        <v>593</v>
      </c>
      <c r="D16" s="418">
        <v>500</v>
      </c>
      <c r="E16" s="418">
        <v>494</v>
      </c>
      <c r="F16" s="418">
        <v>500</v>
      </c>
      <c r="G16" s="418">
        <v>498</v>
      </c>
      <c r="H16" s="418">
        <v>457</v>
      </c>
      <c r="I16" s="418">
        <v>530</v>
      </c>
      <c r="J16" s="418">
        <v>472</v>
      </c>
      <c r="K16" s="418">
        <v>595</v>
      </c>
      <c r="L16" s="418">
        <v>686</v>
      </c>
      <c r="M16" s="418">
        <v>677</v>
      </c>
      <c r="N16" s="418">
        <v>756</v>
      </c>
      <c r="O16" s="507">
        <v>698</v>
      </c>
    </row>
    <row r="17" spans="1:15" x14ac:dyDescent="0.3">
      <c r="A17" s="400" t="s">
        <v>93</v>
      </c>
      <c r="B17" s="422">
        <v>720</v>
      </c>
      <c r="C17" s="422">
        <v>858</v>
      </c>
      <c r="D17" s="422">
        <v>863</v>
      </c>
      <c r="E17" s="422">
        <v>820</v>
      </c>
      <c r="F17" s="422">
        <v>903</v>
      </c>
      <c r="G17" s="422">
        <v>860</v>
      </c>
      <c r="H17" s="422">
        <v>916</v>
      </c>
      <c r="I17" s="422">
        <v>1040</v>
      </c>
      <c r="J17" s="422">
        <v>1157</v>
      </c>
      <c r="K17" s="422">
        <v>1304</v>
      </c>
      <c r="L17" s="422">
        <v>1478</v>
      </c>
      <c r="M17" s="422">
        <v>1457</v>
      </c>
      <c r="N17" s="422">
        <v>2002</v>
      </c>
      <c r="O17" s="508">
        <v>1880</v>
      </c>
    </row>
    <row r="18" spans="1:15" ht="15" thickBot="1" x14ac:dyDescent="0.35">
      <c r="A18" s="448" t="s">
        <v>183</v>
      </c>
      <c r="B18" s="471">
        <f t="shared" ref="B18:N18" si="0">SUM(B8:B17)</f>
        <v>23421</v>
      </c>
      <c r="C18" s="471">
        <f t="shared" si="0"/>
        <v>30548</v>
      </c>
      <c r="D18" s="471">
        <f t="shared" si="0"/>
        <v>33216</v>
      </c>
      <c r="E18" s="471">
        <f t="shared" si="0"/>
        <v>34832</v>
      </c>
      <c r="F18" s="471">
        <f t="shared" si="0"/>
        <v>32315</v>
      </c>
      <c r="G18" s="471">
        <f t="shared" si="0"/>
        <v>32254</v>
      </c>
      <c r="H18" s="471">
        <f t="shared" si="0"/>
        <v>34043</v>
      </c>
      <c r="I18" s="471">
        <f t="shared" si="0"/>
        <v>33529</v>
      </c>
      <c r="J18" s="471">
        <f t="shared" si="0"/>
        <v>35191</v>
      </c>
      <c r="K18" s="471">
        <f t="shared" si="0"/>
        <v>38442</v>
      </c>
      <c r="L18" s="471">
        <f t="shared" si="0"/>
        <v>38665</v>
      </c>
      <c r="M18" s="471">
        <f t="shared" si="0"/>
        <v>39379</v>
      </c>
      <c r="N18" s="471">
        <f t="shared" si="0"/>
        <v>41453</v>
      </c>
      <c r="O18" s="509">
        <f>SUM(O8:O17)</f>
        <v>39028</v>
      </c>
    </row>
    <row r="19" spans="1:15" x14ac:dyDescent="0.3">
      <c r="A19" s="510"/>
      <c r="B19" s="454"/>
      <c r="C19" s="454"/>
      <c r="D19" s="454"/>
      <c r="E19" s="454"/>
      <c r="F19" s="454"/>
      <c r="G19" s="454"/>
      <c r="H19" s="454"/>
      <c r="I19" s="454"/>
      <c r="J19" s="454"/>
      <c r="K19" s="454"/>
      <c r="L19" s="454"/>
      <c r="M19" s="454"/>
      <c r="N19" s="454"/>
      <c r="O19" s="454"/>
    </row>
    <row r="20" spans="1:15" x14ac:dyDescent="0.3">
      <c r="A20" s="410"/>
      <c r="B20" s="140"/>
      <c r="C20" s="140"/>
      <c r="D20" s="140"/>
      <c r="E20" s="140"/>
      <c r="F20" s="511"/>
      <c r="G20" s="511"/>
      <c r="H20" s="511"/>
      <c r="I20" s="140"/>
      <c r="J20" s="140"/>
      <c r="K20" s="140"/>
      <c r="L20" s="140"/>
      <c r="M20" s="62"/>
      <c r="N20" s="62"/>
      <c r="O20" s="62"/>
    </row>
    <row r="100" spans="1:1" x14ac:dyDescent="0.3">
      <c r="A100" s="410" t="s">
        <v>659</v>
      </c>
    </row>
    <row r="101" spans="1:1" x14ac:dyDescent="0.3">
      <c r="A101" s="410" t="s">
        <v>660</v>
      </c>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69F85-FC5B-475B-BE01-E8D42B48ED5C}">
  <sheetPr codeName="Sheet21"/>
  <dimension ref="A6:EQ165"/>
  <sheetViews>
    <sheetView showGridLines="0" topLeftCell="B1" zoomScale="85" zoomScaleNormal="85" workbookViewId="0">
      <selection activeCell="B1" sqref="B1"/>
    </sheetView>
  </sheetViews>
  <sheetFormatPr defaultRowHeight="14.4" x14ac:dyDescent="0.3"/>
  <cols>
    <col min="1" max="1" width="9.109375" hidden="1" customWidth="1"/>
    <col min="2" max="2" width="16.109375" customWidth="1"/>
    <col min="3" max="5" width="17.33203125" style="254" customWidth="1"/>
    <col min="6" max="7" width="3.6640625" customWidth="1"/>
    <col min="8" max="8" width="15.6640625" customWidth="1"/>
    <col min="9" max="11" width="20.6640625" customWidth="1"/>
    <col min="12" max="12" width="11" customWidth="1"/>
    <col min="13" max="13" width="15.6640625" customWidth="1"/>
    <col min="14" max="16" width="20.6640625" customWidth="1"/>
  </cols>
  <sheetData>
    <row r="6" spans="1:147" ht="15" thickBot="1" x14ac:dyDescent="0.35">
      <c r="B6" s="668" t="s">
        <v>661</v>
      </c>
      <c r="C6" s="668"/>
      <c r="D6" s="668"/>
      <c r="E6" s="668"/>
      <c r="F6" s="512"/>
      <c r="G6" s="512"/>
      <c r="H6" s="636" t="s">
        <v>111</v>
      </c>
      <c r="I6" s="636"/>
      <c r="J6" s="636"/>
      <c r="K6" s="636"/>
      <c r="M6" s="636" t="s">
        <v>72</v>
      </c>
      <c r="N6" s="636"/>
      <c r="O6" s="636"/>
      <c r="P6" s="636"/>
      <c r="Q6" s="512"/>
      <c r="R6" s="512"/>
      <c r="S6" s="512"/>
      <c r="T6" s="512"/>
      <c r="U6" s="512"/>
      <c r="V6" s="512"/>
      <c r="W6" s="512"/>
      <c r="X6" s="512"/>
      <c r="Y6" s="512"/>
      <c r="Z6" s="512"/>
      <c r="AA6" s="512"/>
      <c r="AB6" s="512"/>
      <c r="AC6" s="512"/>
      <c r="AD6" s="512"/>
      <c r="AE6" s="512"/>
      <c r="AF6" s="512"/>
      <c r="AG6" s="512"/>
      <c r="AH6" s="512"/>
      <c r="AI6" s="512"/>
      <c r="AJ6" s="512"/>
      <c r="AK6" s="512"/>
      <c r="AL6" s="512"/>
      <c r="AM6" s="512"/>
      <c r="AN6" s="512"/>
      <c r="AO6" s="512"/>
      <c r="AP6" s="512"/>
      <c r="AQ6" s="512"/>
      <c r="AR6" s="512"/>
      <c r="AS6" s="512"/>
      <c r="AT6" s="512"/>
      <c r="AU6" s="512"/>
      <c r="AV6" s="512"/>
      <c r="AW6" s="512"/>
      <c r="AX6" s="512"/>
      <c r="AY6" s="512"/>
      <c r="AZ6" s="512"/>
      <c r="BA6" s="512"/>
      <c r="BB6" s="512"/>
      <c r="BC6" s="512"/>
      <c r="BD6" s="512"/>
      <c r="BE6" s="512"/>
      <c r="BF6" s="512"/>
      <c r="BG6" s="512"/>
      <c r="BH6" s="512"/>
      <c r="BI6" s="512"/>
      <c r="BJ6" s="512"/>
      <c r="BK6" s="512"/>
      <c r="BL6" s="512"/>
      <c r="BM6" s="512"/>
      <c r="BN6" s="512"/>
      <c r="BO6" s="512"/>
      <c r="BP6" s="512"/>
      <c r="BQ6" s="512"/>
      <c r="BR6" s="512"/>
      <c r="BS6" s="512"/>
      <c r="BT6" s="512"/>
      <c r="BU6" s="512"/>
      <c r="BV6" s="512"/>
      <c r="BW6" s="512"/>
      <c r="BX6" s="512"/>
      <c r="BY6" s="512"/>
      <c r="BZ6" s="512"/>
      <c r="CA6" s="512"/>
      <c r="CB6" s="512"/>
      <c r="CC6" s="512"/>
      <c r="CD6" s="512"/>
      <c r="CE6" s="512"/>
      <c r="CF6" s="512"/>
      <c r="CG6" s="512"/>
      <c r="CH6" s="512"/>
      <c r="CI6" s="512"/>
      <c r="CJ6" s="512"/>
      <c r="CK6" s="512"/>
      <c r="CL6" s="512"/>
      <c r="CM6" s="512"/>
      <c r="CN6" s="512"/>
      <c r="CO6" s="512"/>
      <c r="CP6" s="512"/>
      <c r="CQ6" s="512"/>
      <c r="CR6" s="512"/>
      <c r="CS6" s="512"/>
      <c r="CT6" s="512"/>
      <c r="CU6" s="512"/>
      <c r="CV6" s="512"/>
      <c r="CW6" s="512"/>
      <c r="CX6" s="512"/>
      <c r="CY6" s="512"/>
      <c r="CZ6" s="512"/>
      <c r="DA6" s="512"/>
      <c r="DB6" s="512"/>
      <c r="DC6" s="512"/>
      <c r="DD6" s="512"/>
      <c r="DE6" s="512"/>
      <c r="DF6" s="512"/>
      <c r="DG6" s="512"/>
      <c r="DH6" s="512"/>
      <c r="DI6" s="512"/>
      <c r="DJ6" s="512"/>
      <c r="DK6" s="512"/>
      <c r="DL6" s="512"/>
      <c r="DM6" s="512"/>
      <c r="DN6" s="512"/>
      <c r="DO6" s="512"/>
      <c r="DP6" s="512"/>
      <c r="DQ6" s="512"/>
      <c r="DR6" s="512"/>
      <c r="DS6" s="512"/>
      <c r="DT6" s="512"/>
      <c r="DU6" s="512"/>
      <c r="DV6" s="512"/>
      <c r="DW6" s="512"/>
      <c r="DX6" s="512"/>
      <c r="DY6" s="512"/>
      <c r="DZ6" s="512"/>
      <c r="EA6" s="512"/>
      <c r="EB6" s="512"/>
      <c r="EC6" s="512"/>
      <c r="ED6" s="512"/>
      <c r="EE6" s="512"/>
      <c r="EF6" s="512"/>
      <c r="EG6" s="512"/>
      <c r="EH6" s="512"/>
      <c r="EI6" s="512"/>
      <c r="EJ6" s="512"/>
      <c r="EK6" s="512"/>
      <c r="EL6" s="512"/>
      <c r="EM6" s="512"/>
      <c r="EN6" s="512"/>
      <c r="EO6" s="512"/>
      <c r="EP6" s="512"/>
      <c r="EQ6" s="512"/>
    </row>
    <row r="7" spans="1:147" ht="59.25" customHeight="1" x14ac:dyDescent="0.3">
      <c r="B7" s="513" t="s">
        <v>112</v>
      </c>
      <c r="C7" s="514" t="s">
        <v>662</v>
      </c>
      <c r="D7" s="515" t="s">
        <v>663</v>
      </c>
      <c r="E7" s="516" t="s">
        <v>117</v>
      </c>
      <c r="H7" s="513" t="s">
        <v>73</v>
      </c>
      <c r="I7" s="514" t="s">
        <v>662</v>
      </c>
      <c r="J7" s="515" t="s">
        <v>663</v>
      </c>
      <c r="K7" s="516" t="s">
        <v>117</v>
      </c>
      <c r="L7" s="145"/>
      <c r="M7" s="513" t="s">
        <v>73</v>
      </c>
      <c r="N7" s="514" t="s">
        <v>662</v>
      </c>
      <c r="O7" s="515" t="s">
        <v>663</v>
      </c>
      <c r="P7" s="516" t="s">
        <v>117</v>
      </c>
    </row>
    <row r="8" spans="1:147" x14ac:dyDescent="0.3">
      <c r="A8">
        <f>YEAR(B8)</f>
        <v>1985</v>
      </c>
      <c r="B8" s="517">
        <v>31079</v>
      </c>
      <c r="C8" s="518">
        <v>107.7062</v>
      </c>
      <c r="D8" s="519">
        <v>0</v>
      </c>
      <c r="E8" s="520">
        <v>107.7062</v>
      </c>
      <c r="H8" s="521">
        <f t="shared" ref="H8:H15" si="0">H9-1</f>
        <v>2014</v>
      </c>
      <c r="I8" s="518">
        <f t="shared" ref="I8:I17" si="1">AVERAGEIF($A$8:$A$507,$H8,$C$8:$C$507)</f>
        <v>9376.2419800000007</v>
      </c>
      <c r="J8" s="518">
        <f t="shared" ref="J8:J17" si="2">AVERAGEIF($A$8:$A$507,$H8,$D$8:$D$507)</f>
        <v>463.30550249999999</v>
      </c>
      <c r="K8" s="522">
        <f t="shared" ref="K8:K17" si="3">AVERAGEIF($A$8:$A$507,$H8,$E$8:$E$507)</f>
        <v>9839.5474825000001</v>
      </c>
      <c r="L8" s="126"/>
      <c r="M8" s="523" t="str">
        <f t="shared" ref="M8:M15" si="4">LEFT(M9,4)-1 &amp; "-" &amp; RIGHT(M9,2)-1</f>
        <v>2014-15</v>
      </c>
      <c r="N8" s="524">
        <f>AVERAGEIFS(C:C, $B:$B, "&gt;=" &amp; DATE(LEFT($M8, 4), 7, 1), $B:$B, "&lt;" &amp; DATE(LEFT($M8, 4)+1, 7, 1))</f>
        <v>9501.2063474999995</v>
      </c>
      <c r="O8" s="524">
        <f t="shared" ref="O8:P17" si="5">AVERAGEIFS(D:D, $B:$B, "&gt;=" &amp; DATE(LEFT($M8, 4), 7, 1), $B:$B, "&lt;" &amp; DATE(LEFT($M8, 4)+1, 7, 1))</f>
        <v>247.86828500000001</v>
      </c>
      <c r="P8" s="525">
        <f t="shared" si="5"/>
        <v>9749.0746325</v>
      </c>
    </row>
    <row r="9" spans="1:147" x14ac:dyDescent="0.3">
      <c r="A9">
        <f t="shared" ref="A9:A72" si="6">YEAR(B9)</f>
        <v>1985</v>
      </c>
      <c r="B9" s="517">
        <v>31168</v>
      </c>
      <c r="C9" s="526">
        <v>115.0309</v>
      </c>
      <c r="D9" s="527">
        <v>0</v>
      </c>
      <c r="E9" s="528">
        <v>115.0309</v>
      </c>
      <c r="H9" s="521">
        <f t="shared" si="0"/>
        <v>2015</v>
      </c>
      <c r="I9" s="526">
        <f t="shared" si="1"/>
        <v>11231.0363325</v>
      </c>
      <c r="J9" s="527">
        <f t="shared" si="2"/>
        <v>332.95209499999999</v>
      </c>
      <c r="K9" s="528">
        <f t="shared" si="3"/>
        <v>11563.9884275</v>
      </c>
      <c r="L9" s="126"/>
      <c r="M9" s="523" t="str">
        <f t="shared" si="4"/>
        <v>2015-16</v>
      </c>
      <c r="N9" s="527">
        <f t="shared" ref="N9:N17" si="7">AVERAGEIFS(C:C, $B:$B, "&gt;=" &amp; DATE(LEFT($M9, 4), 7, 1), $B:$B, "&lt;" &amp; DATE(LEFT($M9, 4)+1, 7, 1))</f>
        <v>10808.92823</v>
      </c>
      <c r="O9" s="527">
        <f t="shared" si="5"/>
        <v>812.44194500000003</v>
      </c>
      <c r="P9" s="528">
        <f t="shared" si="5"/>
        <v>11621.370175</v>
      </c>
    </row>
    <row r="10" spans="1:147" x14ac:dyDescent="0.3">
      <c r="A10">
        <f t="shared" si="6"/>
        <v>1985</v>
      </c>
      <c r="B10" s="517">
        <v>31260</v>
      </c>
      <c r="C10" s="518">
        <v>498.24919999999997</v>
      </c>
      <c r="D10" s="519">
        <v>0</v>
      </c>
      <c r="E10" s="520">
        <v>498.24919999999997</v>
      </c>
      <c r="H10" s="521">
        <f t="shared" si="0"/>
        <v>2016</v>
      </c>
      <c r="I10" s="518">
        <f t="shared" si="1"/>
        <v>9498.5055675000003</v>
      </c>
      <c r="J10" s="519">
        <f t="shared" si="2"/>
        <v>799.77450499999998</v>
      </c>
      <c r="K10" s="520">
        <f t="shared" si="3"/>
        <v>10298.280072500002</v>
      </c>
      <c r="L10" s="126"/>
      <c r="M10" s="523" t="str">
        <f t="shared" si="4"/>
        <v>2016-17</v>
      </c>
      <c r="N10" s="529">
        <f t="shared" si="7"/>
        <v>8658.2281750000002</v>
      </c>
      <c r="O10" s="529">
        <f t="shared" si="5"/>
        <v>540.01668500000005</v>
      </c>
      <c r="P10" s="520">
        <f t="shared" si="5"/>
        <v>9198.2448600000007</v>
      </c>
    </row>
    <row r="11" spans="1:147" x14ac:dyDescent="0.3">
      <c r="A11">
        <f t="shared" si="6"/>
        <v>1985</v>
      </c>
      <c r="B11" s="517">
        <v>31352</v>
      </c>
      <c r="C11" s="526">
        <v>219.35920000000002</v>
      </c>
      <c r="D11" s="527">
        <v>0</v>
      </c>
      <c r="E11" s="528">
        <v>219.35920000000002</v>
      </c>
      <c r="H11" s="521">
        <f t="shared" si="0"/>
        <v>2017</v>
      </c>
      <c r="I11" s="526">
        <f t="shared" si="1"/>
        <v>9483.1271850000012</v>
      </c>
      <c r="J11" s="527">
        <f t="shared" si="2"/>
        <v>554.67964749999999</v>
      </c>
      <c r="K11" s="528">
        <f t="shared" si="3"/>
        <v>10037.8068325</v>
      </c>
      <c r="L11" s="126"/>
      <c r="M11" s="523" t="str">
        <f t="shared" si="4"/>
        <v>2017-18</v>
      </c>
      <c r="N11" s="527">
        <f t="shared" si="7"/>
        <v>13420.080732499999</v>
      </c>
      <c r="O11" s="527">
        <f t="shared" si="5"/>
        <v>564.16522750000013</v>
      </c>
      <c r="P11" s="528">
        <f t="shared" si="5"/>
        <v>13984.24596</v>
      </c>
    </row>
    <row r="12" spans="1:147" x14ac:dyDescent="0.3">
      <c r="A12">
        <f t="shared" si="6"/>
        <v>1986</v>
      </c>
      <c r="B12" s="517">
        <v>31444</v>
      </c>
      <c r="C12" s="518">
        <v>435.48940000000005</v>
      </c>
      <c r="D12" s="519">
        <v>0</v>
      </c>
      <c r="E12" s="520">
        <v>435.48940000000005</v>
      </c>
      <c r="H12" s="521">
        <f t="shared" si="0"/>
        <v>2018</v>
      </c>
      <c r="I12" s="518">
        <f t="shared" si="1"/>
        <v>15757.641937499999</v>
      </c>
      <c r="J12" s="519">
        <f t="shared" si="2"/>
        <v>765.36139500000002</v>
      </c>
      <c r="K12" s="520">
        <f t="shared" si="3"/>
        <v>16523.0033325</v>
      </c>
      <c r="L12" s="126"/>
      <c r="M12" s="523" t="str">
        <f t="shared" si="4"/>
        <v>2018-19</v>
      </c>
      <c r="N12" s="529">
        <f t="shared" si="7"/>
        <v>14161.873075</v>
      </c>
      <c r="O12" s="529">
        <f t="shared" si="5"/>
        <v>794.18953750000003</v>
      </c>
      <c r="P12" s="520">
        <f t="shared" si="5"/>
        <v>14956.062612500002</v>
      </c>
    </row>
    <row r="13" spans="1:147" x14ac:dyDescent="0.3">
      <c r="A13">
        <f t="shared" si="6"/>
        <v>1986</v>
      </c>
      <c r="B13" s="517">
        <v>31533</v>
      </c>
      <c r="C13" s="526">
        <v>443.84930000000003</v>
      </c>
      <c r="D13" s="527">
        <v>0</v>
      </c>
      <c r="E13" s="528">
        <v>443.84930000000003</v>
      </c>
      <c r="H13" s="521">
        <f t="shared" si="0"/>
        <v>2019</v>
      </c>
      <c r="I13" s="526">
        <f t="shared" si="1"/>
        <v>15298.534025000001</v>
      </c>
      <c r="J13" s="527">
        <f t="shared" si="2"/>
        <v>1076.1638974999998</v>
      </c>
      <c r="K13" s="528">
        <f t="shared" si="3"/>
        <v>16374.6979225</v>
      </c>
      <c r="L13" s="126"/>
      <c r="M13" s="523" t="str">
        <f t="shared" si="4"/>
        <v>2019-20</v>
      </c>
      <c r="N13" s="527">
        <f t="shared" si="7"/>
        <v>14702.2503925</v>
      </c>
      <c r="O13" s="527">
        <f t="shared" si="5"/>
        <v>961.06835499999977</v>
      </c>
      <c r="P13" s="528">
        <f t="shared" si="5"/>
        <v>15663.318747500001</v>
      </c>
    </row>
    <row r="14" spans="1:147" x14ac:dyDescent="0.3">
      <c r="A14">
        <f t="shared" si="6"/>
        <v>1986</v>
      </c>
      <c r="B14" s="517">
        <v>31625</v>
      </c>
      <c r="C14" s="518">
        <v>113.1019</v>
      </c>
      <c r="D14" s="519">
        <v>0</v>
      </c>
      <c r="E14" s="520">
        <v>113.1019</v>
      </c>
      <c r="H14" s="521">
        <f t="shared" si="0"/>
        <v>2020</v>
      </c>
      <c r="I14" s="518">
        <f t="shared" si="1"/>
        <v>12022.844992499999</v>
      </c>
      <c r="J14" s="519">
        <f t="shared" si="2"/>
        <v>352.11312500000003</v>
      </c>
      <c r="K14" s="520">
        <f t="shared" si="3"/>
        <v>12374.9581175</v>
      </c>
      <c r="L14" s="126"/>
      <c r="M14" s="523" t="str">
        <f t="shared" si="4"/>
        <v>2020-21</v>
      </c>
      <c r="N14" s="529">
        <f t="shared" si="7"/>
        <v>11139.5416675</v>
      </c>
      <c r="O14" s="529">
        <f t="shared" si="5"/>
        <v>330.61720249999996</v>
      </c>
      <c r="P14" s="520">
        <f t="shared" si="5"/>
        <v>11470.158869999999</v>
      </c>
    </row>
    <row r="15" spans="1:147" x14ac:dyDescent="0.3">
      <c r="A15">
        <f t="shared" si="6"/>
        <v>1986</v>
      </c>
      <c r="B15" s="517">
        <v>31717</v>
      </c>
      <c r="C15" s="526">
        <v>448.30989999999997</v>
      </c>
      <c r="D15" s="527">
        <v>0</v>
      </c>
      <c r="E15" s="528">
        <v>448.30989999999997</v>
      </c>
      <c r="H15" s="521">
        <f t="shared" si="0"/>
        <v>2021</v>
      </c>
      <c r="I15" s="526">
        <f>AVERAGEIF($A$8:$A$507,$H15,$C$8:$C$507)</f>
        <v>10477.9342925</v>
      </c>
      <c r="J15" s="527">
        <f t="shared" si="2"/>
        <v>725.16211250000003</v>
      </c>
      <c r="K15" s="528">
        <f t="shared" si="3"/>
        <v>11203.096404999998</v>
      </c>
      <c r="L15" s="126"/>
      <c r="M15" s="523" t="str">
        <f t="shared" si="4"/>
        <v>2021-22</v>
      </c>
      <c r="N15" s="527">
        <f t="shared" si="7"/>
        <v>11424.557627499998</v>
      </c>
      <c r="O15" s="527">
        <f t="shared" si="5"/>
        <v>1087.4664700000001</v>
      </c>
      <c r="P15" s="528">
        <f t="shared" si="5"/>
        <v>12512.024097499998</v>
      </c>
    </row>
    <row r="16" spans="1:147" x14ac:dyDescent="0.3">
      <c r="A16">
        <f t="shared" si="6"/>
        <v>1987</v>
      </c>
      <c r="B16" s="517">
        <v>31809</v>
      </c>
      <c r="C16" s="518">
        <v>451.90089999999998</v>
      </c>
      <c r="D16" s="519">
        <v>0</v>
      </c>
      <c r="E16" s="520">
        <v>451.90089999999998</v>
      </c>
      <c r="H16" s="521">
        <f>H17-1</f>
        <v>2022</v>
      </c>
      <c r="I16" s="518">
        <f t="shared" si="1"/>
        <v>11344.71925</v>
      </c>
      <c r="J16" s="519">
        <f t="shared" si="2"/>
        <v>1020.5141725</v>
      </c>
      <c r="K16" s="520">
        <f t="shared" si="3"/>
        <v>12365.233422499998</v>
      </c>
      <c r="L16" s="126"/>
      <c r="M16" s="523" t="str">
        <f>LEFT(M17,4)-1 &amp; "-" &amp; RIGHT(M17,2)-1</f>
        <v>2022-23</v>
      </c>
      <c r="N16" s="529">
        <f t="shared" si="7"/>
        <v>11301.575905</v>
      </c>
      <c r="O16" s="529">
        <f t="shared" si="5"/>
        <v>672.6148025</v>
      </c>
      <c r="P16" s="520">
        <f t="shared" si="5"/>
        <v>11974.190707499998</v>
      </c>
    </row>
    <row r="17" spans="1:16" ht="15" thickBot="1" x14ac:dyDescent="0.35">
      <c r="A17">
        <f t="shared" si="6"/>
        <v>1987</v>
      </c>
      <c r="B17" s="517">
        <v>31898</v>
      </c>
      <c r="C17" s="526">
        <v>432.4502</v>
      </c>
      <c r="D17" s="527">
        <v>0</v>
      </c>
      <c r="E17" s="528">
        <v>432.4502</v>
      </c>
      <c r="H17" s="530">
        <f>YEAR(LARGE(B:B, 4))</f>
        <v>2023</v>
      </c>
      <c r="I17" s="531">
        <f t="shared" si="1"/>
        <v>9217.9003599999996</v>
      </c>
      <c r="J17" s="532">
        <f t="shared" si="2"/>
        <v>783.92062750000002</v>
      </c>
      <c r="K17" s="533">
        <f t="shared" si="3"/>
        <v>10001.820987499999</v>
      </c>
      <c r="L17" s="126"/>
      <c r="M17" s="534" t="str">
        <f>IF(MONTH(LARGE(B:B,4))&gt;=7, YEAR(LARGE(B:B,4)) &amp; "-" &amp; RIGHT(YEAR(LARGE(B:B,4))+1, 2),
                                                               YEAR(LARGE(B:B,4))-1 &amp; "-" &amp; RIGHT(YEAR(LARGE(B:B,4)), 2)
)</f>
        <v>2023-24</v>
      </c>
      <c r="N17" s="532">
        <f t="shared" si="7"/>
        <v>6978.1837399999995</v>
      </c>
      <c r="O17" s="532">
        <f t="shared" si="5"/>
        <v>1031.5681125000001</v>
      </c>
      <c r="P17" s="533">
        <f t="shared" si="5"/>
        <v>8009.7518525000005</v>
      </c>
    </row>
    <row r="18" spans="1:16" x14ac:dyDescent="0.3">
      <c r="A18">
        <f t="shared" si="6"/>
        <v>1987</v>
      </c>
      <c r="B18" s="517">
        <v>31990</v>
      </c>
      <c r="C18" s="518">
        <v>218.54390000000001</v>
      </c>
      <c r="D18" s="519">
        <v>104.2745</v>
      </c>
      <c r="E18" s="520">
        <v>322.8184</v>
      </c>
    </row>
    <row r="19" spans="1:16" x14ac:dyDescent="0.3">
      <c r="A19">
        <f t="shared" si="6"/>
        <v>1987</v>
      </c>
      <c r="B19" s="517">
        <v>32082</v>
      </c>
      <c r="C19" s="526">
        <v>334.78409999999997</v>
      </c>
      <c r="D19" s="527">
        <v>0</v>
      </c>
      <c r="E19" s="528">
        <v>334.78409999999997</v>
      </c>
    </row>
    <row r="20" spans="1:16" x14ac:dyDescent="0.3">
      <c r="A20">
        <f t="shared" si="6"/>
        <v>1988</v>
      </c>
      <c r="B20" s="517">
        <v>32174</v>
      </c>
      <c r="C20" s="518">
        <v>237.3965</v>
      </c>
      <c r="D20" s="519">
        <v>0</v>
      </c>
      <c r="E20" s="520">
        <v>237.3965</v>
      </c>
    </row>
    <row r="21" spans="1:16" x14ac:dyDescent="0.3">
      <c r="A21">
        <f t="shared" si="6"/>
        <v>1988</v>
      </c>
      <c r="B21" s="517">
        <v>32264</v>
      </c>
      <c r="C21" s="526">
        <v>956.35840000000007</v>
      </c>
      <c r="D21" s="527">
        <v>0</v>
      </c>
      <c r="E21" s="528">
        <v>956.35840000000007</v>
      </c>
    </row>
    <row r="22" spans="1:16" x14ac:dyDescent="0.3">
      <c r="A22">
        <f t="shared" si="6"/>
        <v>1988</v>
      </c>
      <c r="B22" s="517">
        <v>32356</v>
      </c>
      <c r="C22" s="518">
        <v>981.35189999999989</v>
      </c>
      <c r="D22" s="519">
        <v>0</v>
      </c>
      <c r="E22" s="520">
        <v>981.35189999999989</v>
      </c>
    </row>
    <row r="23" spans="1:16" x14ac:dyDescent="0.3">
      <c r="A23">
        <f t="shared" si="6"/>
        <v>1988</v>
      </c>
      <c r="B23" s="517">
        <v>32448</v>
      </c>
      <c r="C23" s="526">
        <v>778.16309999999999</v>
      </c>
      <c r="D23" s="527">
        <v>0</v>
      </c>
      <c r="E23" s="528">
        <v>778.16309999999999</v>
      </c>
    </row>
    <row r="24" spans="1:16" x14ac:dyDescent="0.3">
      <c r="A24">
        <f t="shared" si="6"/>
        <v>1989</v>
      </c>
      <c r="B24" s="517">
        <v>32540</v>
      </c>
      <c r="C24" s="518">
        <v>882.44470000000013</v>
      </c>
      <c r="D24" s="519">
        <v>0</v>
      </c>
      <c r="E24" s="520">
        <v>882.44470000000013</v>
      </c>
    </row>
    <row r="25" spans="1:16" x14ac:dyDescent="0.3">
      <c r="A25">
        <f t="shared" si="6"/>
        <v>1989</v>
      </c>
      <c r="B25" s="517">
        <v>32629</v>
      </c>
      <c r="C25" s="526">
        <v>923.29849999999999</v>
      </c>
      <c r="D25" s="527">
        <v>0</v>
      </c>
      <c r="E25" s="528">
        <v>923.29849999999999</v>
      </c>
    </row>
    <row r="26" spans="1:16" x14ac:dyDescent="0.3">
      <c r="A26">
        <f t="shared" si="6"/>
        <v>1989</v>
      </c>
      <c r="B26" s="517">
        <v>32721</v>
      </c>
      <c r="C26" s="518">
        <v>910.35329999999988</v>
      </c>
      <c r="D26" s="519">
        <v>0</v>
      </c>
      <c r="E26" s="520">
        <v>910.35329999999988</v>
      </c>
    </row>
    <row r="27" spans="1:16" x14ac:dyDescent="0.3">
      <c r="A27">
        <f t="shared" si="6"/>
        <v>1989</v>
      </c>
      <c r="B27" s="517">
        <v>32813</v>
      </c>
      <c r="C27" s="526">
        <v>116.8077</v>
      </c>
      <c r="D27" s="527">
        <v>0</v>
      </c>
      <c r="E27" s="528">
        <v>116.8077</v>
      </c>
    </row>
    <row r="28" spans="1:16" x14ac:dyDescent="0.3">
      <c r="A28">
        <f t="shared" si="6"/>
        <v>1990</v>
      </c>
      <c r="B28" s="517">
        <v>32905</v>
      </c>
      <c r="C28" s="518">
        <v>356.87849999999997</v>
      </c>
      <c r="D28" s="519">
        <v>0</v>
      </c>
      <c r="E28" s="520">
        <v>356.87849999999997</v>
      </c>
    </row>
    <row r="29" spans="1:16" x14ac:dyDescent="0.3">
      <c r="A29">
        <f t="shared" si="6"/>
        <v>1990</v>
      </c>
      <c r="B29" s="517">
        <v>32994</v>
      </c>
      <c r="C29" s="526">
        <v>355.49459999999999</v>
      </c>
      <c r="D29" s="527">
        <v>0</v>
      </c>
      <c r="E29" s="528">
        <v>355.49459999999999</v>
      </c>
    </row>
    <row r="30" spans="1:16" x14ac:dyDescent="0.3">
      <c r="A30">
        <f t="shared" si="6"/>
        <v>1990</v>
      </c>
      <c r="B30" s="517">
        <v>33086</v>
      </c>
      <c r="C30" s="518">
        <v>642.4579</v>
      </c>
      <c r="D30" s="519">
        <v>0</v>
      </c>
      <c r="E30" s="520">
        <v>642.4579</v>
      </c>
    </row>
    <row r="31" spans="1:16" x14ac:dyDescent="0.3">
      <c r="A31">
        <f t="shared" si="6"/>
        <v>1990</v>
      </c>
      <c r="B31" s="517">
        <v>33178</v>
      </c>
      <c r="C31" s="526">
        <v>1232.7221999999999</v>
      </c>
      <c r="D31" s="527">
        <v>0</v>
      </c>
      <c r="E31" s="528">
        <v>1232.7221999999999</v>
      </c>
    </row>
    <row r="32" spans="1:16" x14ac:dyDescent="0.3">
      <c r="A32">
        <f t="shared" si="6"/>
        <v>1991</v>
      </c>
      <c r="B32" s="517">
        <v>33270</v>
      </c>
      <c r="C32" s="518">
        <v>1467.8569</v>
      </c>
      <c r="D32" s="519">
        <v>0</v>
      </c>
      <c r="E32" s="520">
        <v>1467.8569</v>
      </c>
    </row>
    <row r="33" spans="1:5" x14ac:dyDescent="0.3">
      <c r="A33">
        <f t="shared" si="6"/>
        <v>1991</v>
      </c>
      <c r="B33" s="517">
        <v>33359</v>
      </c>
      <c r="C33" s="526">
        <v>1663.0241000000001</v>
      </c>
      <c r="D33" s="527">
        <v>0</v>
      </c>
      <c r="E33" s="528">
        <v>1663.0241000000001</v>
      </c>
    </row>
    <row r="34" spans="1:5" x14ac:dyDescent="0.3">
      <c r="A34">
        <f t="shared" si="6"/>
        <v>1991</v>
      </c>
      <c r="B34" s="517">
        <v>33451</v>
      </c>
      <c r="C34" s="518">
        <v>1537.8025799999998</v>
      </c>
      <c r="D34" s="519">
        <v>0</v>
      </c>
      <c r="E34" s="520">
        <v>1537.8025799999998</v>
      </c>
    </row>
    <row r="35" spans="1:5" x14ac:dyDescent="0.3">
      <c r="A35">
        <f t="shared" si="6"/>
        <v>1991</v>
      </c>
      <c r="B35" s="517">
        <v>33543</v>
      </c>
      <c r="C35" s="526">
        <v>0</v>
      </c>
      <c r="D35" s="527">
        <v>0</v>
      </c>
      <c r="E35" s="528">
        <v>0</v>
      </c>
    </row>
    <row r="36" spans="1:5" x14ac:dyDescent="0.3">
      <c r="A36">
        <f t="shared" si="6"/>
        <v>1992</v>
      </c>
      <c r="B36" s="517">
        <v>33635</v>
      </c>
      <c r="C36" s="518">
        <v>761.18696</v>
      </c>
      <c r="D36" s="519">
        <v>0</v>
      </c>
      <c r="E36" s="520">
        <v>761.18696</v>
      </c>
    </row>
    <row r="37" spans="1:5" x14ac:dyDescent="0.3">
      <c r="A37">
        <f t="shared" si="6"/>
        <v>1992</v>
      </c>
      <c r="B37" s="517">
        <v>33725</v>
      </c>
      <c r="C37" s="526">
        <v>1599.4411000000002</v>
      </c>
      <c r="D37" s="527">
        <v>0</v>
      </c>
      <c r="E37" s="528">
        <v>1599.4411000000002</v>
      </c>
    </row>
    <row r="38" spans="1:5" x14ac:dyDescent="0.3">
      <c r="A38">
        <f t="shared" si="6"/>
        <v>1992</v>
      </c>
      <c r="B38" s="517">
        <v>33817</v>
      </c>
      <c r="C38" s="518">
        <v>2234.3631700000001</v>
      </c>
      <c r="D38" s="519">
        <v>132.29071000000002</v>
      </c>
      <c r="E38" s="520">
        <v>2366.6538799999998</v>
      </c>
    </row>
    <row r="39" spans="1:5" x14ac:dyDescent="0.3">
      <c r="A39">
        <f t="shared" si="6"/>
        <v>1992</v>
      </c>
      <c r="B39" s="517">
        <v>33909</v>
      </c>
      <c r="C39" s="526">
        <v>1908.4451799999999</v>
      </c>
      <c r="D39" s="527">
        <v>152.07348999999999</v>
      </c>
      <c r="E39" s="528">
        <v>2060.5186699999999</v>
      </c>
    </row>
    <row r="40" spans="1:5" x14ac:dyDescent="0.3">
      <c r="A40">
        <f t="shared" si="6"/>
        <v>1993</v>
      </c>
      <c r="B40" s="517">
        <v>34001</v>
      </c>
      <c r="C40" s="518">
        <v>1937.5449099999998</v>
      </c>
      <c r="D40" s="519">
        <v>152.39182000000002</v>
      </c>
      <c r="E40" s="520">
        <v>2089.9367299999999</v>
      </c>
    </row>
    <row r="41" spans="1:5" x14ac:dyDescent="0.3">
      <c r="A41">
        <f t="shared" si="6"/>
        <v>1993</v>
      </c>
      <c r="B41" s="517">
        <v>34090</v>
      </c>
      <c r="C41" s="526">
        <v>1289.47426</v>
      </c>
      <c r="D41" s="527">
        <v>177.29951</v>
      </c>
      <c r="E41" s="528">
        <v>1466.77377</v>
      </c>
    </row>
    <row r="42" spans="1:5" x14ac:dyDescent="0.3">
      <c r="A42">
        <f t="shared" si="6"/>
        <v>1993</v>
      </c>
      <c r="B42" s="517">
        <v>34182</v>
      </c>
      <c r="C42" s="518">
        <v>862.79665</v>
      </c>
      <c r="D42" s="519">
        <v>0</v>
      </c>
      <c r="E42" s="520">
        <v>862.79665</v>
      </c>
    </row>
    <row r="43" spans="1:5" x14ac:dyDescent="0.3">
      <c r="A43">
        <f t="shared" si="6"/>
        <v>1993</v>
      </c>
      <c r="B43" s="517">
        <v>34274</v>
      </c>
      <c r="C43" s="526">
        <v>1121.4847500000001</v>
      </c>
      <c r="D43" s="527">
        <v>0</v>
      </c>
      <c r="E43" s="528">
        <v>1121.4847500000001</v>
      </c>
    </row>
    <row r="44" spans="1:5" x14ac:dyDescent="0.3">
      <c r="A44">
        <f t="shared" si="6"/>
        <v>1994</v>
      </c>
      <c r="B44" s="517">
        <v>34366</v>
      </c>
      <c r="C44" s="518">
        <v>1250.1778899999999</v>
      </c>
      <c r="D44" s="519">
        <v>0</v>
      </c>
      <c r="E44" s="520">
        <v>1250.1778899999999</v>
      </c>
    </row>
    <row r="45" spans="1:5" x14ac:dyDescent="0.3">
      <c r="A45">
        <f t="shared" si="6"/>
        <v>1994</v>
      </c>
      <c r="B45" s="517">
        <v>34455</v>
      </c>
      <c r="C45" s="526">
        <v>970.16908999999998</v>
      </c>
      <c r="D45" s="527">
        <v>0</v>
      </c>
      <c r="E45" s="528">
        <v>970.16908999999998</v>
      </c>
    </row>
    <row r="46" spans="1:5" x14ac:dyDescent="0.3">
      <c r="A46">
        <f t="shared" si="6"/>
        <v>1994</v>
      </c>
      <c r="B46" s="517">
        <v>34547</v>
      </c>
      <c r="C46" s="518">
        <v>958.63220000000001</v>
      </c>
      <c r="D46" s="519">
        <v>0</v>
      </c>
      <c r="E46" s="520">
        <v>958.63220000000001</v>
      </c>
    </row>
    <row r="47" spans="1:5" x14ac:dyDescent="0.3">
      <c r="A47">
        <f t="shared" si="6"/>
        <v>1994</v>
      </c>
      <c r="B47" s="517">
        <v>34639</v>
      </c>
      <c r="C47" s="526">
        <v>1132.7088200000001</v>
      </c>
      <c r="D47" s="527">
        <v>0</v>
      </c>
      <c r="E47" s="528">
        <v>1132.7088200000001</v>
      </c>
    </row>
    <row r="48" spans="1:5" x14ac:dyDescent="0.3">
      <c r="A48">
        <f t="shared" si="6"/>
        <v>1995</v>
      </c>
      <c r="B48" s="517">
        <v>34731</v>
      </c>
      <c r="C48" s="518">
        <v>1130.0792900000001</v>
      </c>
      <c r="D48" s="519">
        <v>0</v>
      </c>
      <c r="E48" s="520">
        <v>1130.0792900000001</v>
      </c>
    </row>
    <row r="49" spans="1:5" x14ac:dyDescent="0.3">
      <c r="A49">
        <f t="shared" si="6"/>
        <v>1995</v>
      </c>
      <c r="B49" s="517">
        <v>34820</v>
      </c>
      <c r="C49" s="526">
        <v>1787.4866099999999</v>
      </c>
      <c r="D49" s="527">
        <v>0</v>
      </c>
      <c r="E49" s="528">
        <v>1787.4866099999999</v>
      </c>
    </row>
    <row r="50" spans="1:5" x14ac:dyDescent="0.3">
      <c r="A50">
        <f t="shared" si="6"/>
        <v>1995</v>
      </c>
      <c r="B50" s="517">
        <v>34912</v>
      </c>
      <c r="C50" s="518">
        <v>2248.64957</v>
      </c>
      <c r="D50" s="519">
        <v>173.82248999999999</v>
      </c>
      <c r="E50" s="520">
        <v>2422.4720600000001</v>
      </c>
    </row>
    <row r="51" spans="1:5" x14ac:dyDescent="0.3">
      <c r="A51">
        <f t="shared" si="6"/>
        <v>1995</v>
      </c>
      <c r="B51" s="517">
        <v>35004</v>
      </c>
      <c r="C51" s="526">
        <v>1083.9020599999999</v>
      </c>
      <c r="D51" s="527">
        <v>0</v>
      </c>
      <c r="E51" s="528">
        <v>1083.9020599999999</v>
      </c>
    </row>
    <row r="52" spans="1:5" x14ac:dyDescent="0.3">
      <c r="A52">
        <f t="shared" si="6"/>
        <v>1996</v>
      </c>
      <c r="B52" s="517">
        <v>35096</v>
      </c>
      <c r="C52" s="518">
        <v>1324.2611999999999</v>
      </c>
      <c r="D52" s="519">
        <v>0</v>
      </c>
      <c r="E52" s="520">
        <v>1324.2611999999999</v>
      </c>
    </row>
    <row r="53" spans="1:5" x14ac:dyDescent="0.3">
      <c r="A53">
        <f t="shared" si="6"/>
        <v>1996</v>
      </c>
      <c r="B53" s="517">
        <v>35186</v>
      </c>
      <c r="C53" s="526">
        <v>874.98959000000002</v>
      </c>
      <c r="D53" s="527">
        <v>0</v>
      </c>
      <c r="E53" s="528">
        <v>874.98959000000002</v>
      </c>
    </row>
    <row r="54" spans="1:5" x14ac:dyDescent="0.3">
      <c r="A54">
        <f t="shared" si="6"/>
        <v>1996</v>
      </c>
      <c r="B54" s="517">
        <v>35278</v>
      </c>
      <c r="C54" s="518">
        <v>1300.91292</v>
      </c>
      <c r="D54" s="519">
        <v>0</v>
      </c>
      <c r="E54" s="520">
        <v>1300.91292</v>
      </c>
    </row>
    <row r="55" spans="1:5" x14ac:dyDescent="0.3">
      <c r="A55">
        <f t="shared" si="6"/>
        <v>1996</v>
      </c>
      <c r="B55" s="517">
        <v>35370</v>
      </c>
      <c r="C55" s="526">
        <v>643.12351000000001</v>
      </c>
      <c r="D55" s="527">
        <v>0</v>
      </c>
      <c r="E55" s="528">
        <v>643.12351000000001</v>
      </c>
    </row>
    <row r="56" spans="1:5" x14ac:dyDescent="0.3">
      <c r="A56">
        <f t="shared" si="6"/>
        <v>1997</v>
      </c>
      <c r="B56" s="517">
        <v>35462</v>
      </c>
      <c r="C56" s="518">
        <v>493.93295999999998</v>
      </c>
      <c r="D56" s="519">
        <v>0</v>
      </c>
      <c r="E56" s="520">
        <v>493.93295999999998</v>
      </c>
    </row>
    <row r="57" spans="1:5" x14ac:dyDescent="0.3">
      <c r="A57">
        <f t="shared" si="6"/>
        <v>1997</v>
      </c>
      <c r="B57" s="517">
        <v>35551</v>
      </c>
      <c r="C57" s="526">
        <v>1297.1825100000001</v>
      </c>
      <c r="D57" s="527">
        <v>0</v>
      </c>
      <c r="E57" s="528">
        <v>1297.1825100000001</v>
      </c>
    </row>
    <row r="58" spans="1:5" x14ac:dyDescent="0.3">
      <c r="A58">
        <f t="shared" si="6"/>
        <v>1997</v>
      </c>
      <c r="B58" s="517">
        <v>35643</v>
      </c>
      <c r="C58" s="518">
        <v>863.47410000000002</v>
      </c>
      <c r="D58" s="519">
        <v>0</v>
      </c>
      <c r="E58" s="520">
        <v>863.47410000000002</v>
      </c>
    </row>
    <row r="59" spans="1:5" x14ac:dyDescent="0.3">
      <c r="A59">
        <f t="shared" si="6"/>
        <v>1997</v>
      </c>
      <c r="B59" s="517">
        <v>35735</v>
      </c>
      <c r="C59" s="526">
        <v>1487.0255499999998</v>
      </c>
      <c r="D59" s="527">
        <v>0</v>
      </c>
      <c r="E59" s="528">
        <v>1487.0255499999998</v>
      </c>
    </row>
    <row r="60" spans="1:5" x14ac:dyDescent="0.3">
      <c r="A60">
        <f t="shared" si="6"/>
        <v>1998</v>
      </c>
      <c r="B60" s="517">
        <v>35827</v>
      </c>
      <c r="C60" s="518">
        <v>1745.1871700000002</v>
      </c>
      <c r="D60" s="519">
        <v>0</v>
      </c>
      <c r="E60" s="520">
        <v>1745.1871700000002</v>
      </c>
    </row>
    <row r="61" spans="1:5" x14ac:dyDescent="0.3">
      <c r="A61">
        <f t="shared" si="6"/>
        <v>1998</v>
      </c>
      <c r="B61" s="517">
        <v>35916</v>
      </c>
      <c r="C61" s="526">
        <v>1426.8062500000001</v>
      </c>
      <c r="D61" s="527">
        <v>0</v>
      </c>
      <c r="E61" s="528">
        <v>1426.8062500000001</v>
      </c>
    </row>
    <row r="62" spans="1:5" x14ac:dyDescent="0.3">
      <c r="A62">
        <f t="shared" si="6"/>
        <v>1998</v>
      </c>
      <c r="B62" s="517">
        <v>36008</v>
      </c>
      <c r="C62" s="518">
        <v>1824.63536</v>
      </c>
      <c r="D62" s="519">
        <v>0</v>
      </c>
      <c r="E62" s="520">
        <v>1824.63536</v>
      </c>
    </row>
    <row r="63" spans="1:5" x14ac:dyDescent="0.3">
      <c r="A63">
        <f t="shared" si="6"/>
        <v>1998</v>
      </c>
      <c r="B63" s="517">
        <v>36100</v>
      </c>
      <c r="C63" s="526">
        <v>2256.0497499999997</v>
      </c>
      <c r="D63" s="527">
        <v>0</v>
      </c>
      <c r="E63" s="528">
        <v>2256.0497499999997</v>
      </c>
    </row>
    <row r="64" spans="1:5" x14ac:dyDescent="0.3">
      <c r="A64">
        <f t="shared" si="6"/>
        <v>1999</v>
      </c>
      <c r="B64" s="517">
        <v>36192</v>
      </c>
      <c r="C64" s="518">
        <v>1786.5915500000001</v>
      </c>
      <c r="D64" s="519">
        <v>0</v>
      </c>
      <c r="E64" s="520">
        <v>1786.5915500000001</v>
      </c>
    </row>
    <row r="65" spans="1:5" x14ac:dyDescent="0.3">
      <c r="A65">
        <f t="shared" si="6"/>
        <v>1999</v>
      </c>
      <c r="B65" s="517">
        <v>36281</v>
      </c>
      <c r="C65" s="526">
        <v>1379.3879200000001</v>
      </c>
      <c r="D65" s="527">
        <v>0</v>
      </c>
      <c r="E65" s="528">
        <v>1379.3879200000001</v>
      </c>
    </row>
    <row r="66" spans="1:5" x14ac:dyDescent="0.3">
      <c r="A66">
        <f t="shared" si="6"/>
        <v>1999</v>
      </c>
      <c r="B66" s="517">
        <v>36373</v>
      </c>
      <c r="C66" s="518">
        <v>1731.68759</v>
      </c>
      <c r="D66" s="519">
        <v>0</v>
      </c>
      <c r="E66" s="520">
        <v>1731.68759</v>
      </c>
    </row>
    <row r="67" spans="1:5" x14ac:dyDescent="0.3">
      <c r="A67">
        <f t="shared" si="6"/>
        <v>1999</v>
      </c>
      <c r="B67" s="517">
        <v>36465</v>
      </c>
      <c r="C67" s="526">
        <v>1334.4766</v>
      </c>
      <c r="D67" s="527">
        <v>0</v>
      </c>
      <c r="E67" s="528">
        <v>1334.4766</v>
      </c>
    </row>
    <row r="68" spans="1:5" x14ac:dyDescent="0.3">
      <c r="A68">
        <f t="shared" si="6"/>
        <v>2000</v>
      </c>
      <c r="B68" s="517">
        <v>36557</v>
      </c>
      <c r="C68" s="518">
        <v>1237.1455000000001</v>
      </c>
      <c r="D68" s="519">
        <v>0</v>
      </c>
      <c r="E68" s="520">
        <v>1237.1455000000001</v>
      </c>
    </row>
    <row r="69" spans="1:5" x14ac:dyDescent="0.3">
      <c r="A69">
        <f t="shared" si="6"/>
        <v>2000</v>
      </c>
      <c r="B69" s="517">
        <v>36647</v>
      </c>
      <c r="C69" s="526">
        <v>860.15440999999998</v>
      </c>
      <c r="D69" s="527">
        <v>0</v>
      </c>
      <c r="E69" s="528">
        <v>860.15440999999998</v>
      </c>
    </row>
    <row r="70" spans="1:5" x14ac:dyDescent="0.3">
      <c r="A70">
        <f t="shared" si="6"/>
        <v>2000</v>
      </c>
      <c r="B70" s="517">
        <v>36739</v>
      </c>
      <c r="C70" s="518">
        <v>2360.3291499999996</v>
      </c>
      <c r="D70" s="519">
        <v>0</v>
      </c>
      <c r="E70" s="520">
        <v>2360.3291499999996</v>
      </c>
    </row>
    <row r="71" spans="1:5" x14ac:dyDescent="0.3">
      <c r="A71">
        <f t="shared" si="6"/>
        <v>2000</v>
      </c>
      <c r="B71" s="517">
        <v>36831</v>
      </c>
      <c r="C71" s="526">
        <v>3669.10709</v>
      </c>
      <c r="D71" s="527">
        <v>0</v>
      </c>
      <c r="E71" s="528">
        <v>3669.10709</v>
      </c>
    </row>
    <row r="72" spans="1:5" x14ac:dyDescent="0.3">
      <c r="A72">
        <f t="shared" si="6"/>
        <v>2001</v>
      </c>
      <c r="B72" s="517">
        <v>36923</v>
      </c>
      <c r="C72" s="518">
        <v>2007.7504899999999</v>
      </c>
      <c r="D72" s="519">
        <v>0</v>
      </c>
      <c r="E72" s="520">
        <v>2007.7504899999999</v>
      </c>
    </row>
    <row r="73" spans="1:5" x14ac:dyDescent="0.3">
      <c r="A73">
        <f t="shared" ref="A73:A136" si="8">YEAR(B73)</f>
        <v>2001</v>
      </c>
      <c r="B73" s="517">
        <v>37012</v>
      </c>
      <c r="C73" s="526">
        <v>3019.5219200000001</v>
      </c>
      <c r="D73" s="527">
        <v>0</v>
      </c>
      <c r="E73" s="528">
        <v>3019.5219200000001</v>
      </c>
    </row>
    <row r="74" spans="1:5" x14ac:dyDescent="0.3">
      <c r="A74">
        <f t="shared" si="8"/>
        <v>2001</v>
      </c>
      <c r="B74" s="517">
        <v>37104</v>
      </c>
      <c r="C74" s="518">
        <v>1564.2081000000001</v>
      </c>
      <c r="D74" s="519">
        <v>0</v>
      </c>
      <c r="E74" s="520">
        <v>1564.2081000000001</v>
      </c>
    </row>
    <row r="75" spans="1:5" x14ac:dyDescent="0.3">
      <c r="A75">
        <f t="shared" si="8"/>
        <v>2001</v>
      </c>
      <c r="B75" s="517">
        <v>37196</v>
      </c>
      <c r="C75" s="526">
        <v>1318.4205200000001</v>
      </c>
      <c r="D75" s="527">
        <v>175.12810999999999</v>
      </c>
      <c r="E75" s="528">
        <v>1493.54863</v>
      </c>
    </row>
    <row r="76" spans="1:5" x14ac:dyDescent="0.3">
      <c r="A76">
        <f t="shared" si="8"/>
        <v>2002</v>
      </c>
      <c r="B76" s="517">
        <v>37288</v>
      </c>
      <c r="C76" s="518">
        <v>1257.6034300000001</v>
      </c>
      <c r="D76" s="519">
        <v>180.38345999999999</v>
      </c>
      <c r="E76" s="520">
        <v>1437.9868900000001</v>
      </c>
    </row>
    <row r="77" spans="1:5" x14ac:dyDescent="0.3">
      <c r="A77">
        <f t="shared" si="8"/>
        <v>2002</v>
      </c>
      <c r="B77" s="517">
        <v>37377</v>
      </c>
      <c r="C77" s="526">
        <v>1277.6432600000001</v>
      </c>
      <c r="D77" s="527">
        <v>0</v>
      </c>
      <c r="E77" s="528">
        <v>1277.6432600000001</v>
      </c>
    </row>
    <row r="78" spans="1:5" x14ac:dyDescent="0.3">
      <c r="A78">
        <f t="shared" si="8"/>
        <v>2002</v>
      </c>
      <c r="B78" s="517">
        <v>37469</v>
      </c>
      <c r="C78" s="518">
        <v>2218.1354299999998</v>
      </c>
      <c r="D78" s="519">
        <v>0</v>
      </c>
      <c r="E78" s="520">
        <v>2218.1354299999998</v>
      </c>
    </row>
    <row r="79" spans="1:5" x14ac:dyDescent="0.3">
      <c r="A79">
        <f t="shared" si="8"/>
        <v>2002</v>
      </c>
      <c r="B79" s="517">
        <v>37561</v>
      </c>
      <c r="C79" s="526">
        <v>1780.4772</v>
      </c>
      <c r="D79" s="527">
        <v>0</v>
      </c>
      <c r="E79" s="528">
        <v>1780.4772</v>
      </c>
    </row>
    <row r="80" spans="1:5" x14ac:dyDescent="0.3">
      <c r="A80">
        <f t="shared" si="8"/>
        <v>2003</v>
      </c>
      <c r="B80" s="517">
        <v>37653</v>
      </c>
      <c r="C80" s="518">
        <v>1051.7875999999999</v>
      </c>
      <c r="D80" s="519">
        <v>0</v>
      </c>
      <c r="E80" s="520">
        <v>1051.7875999999999</v>
      </c>
    </row>
    <row r="81" spans="1:5" x14ac:dyDescent="0.3">
      <c r="A81">
        <f t="shared" si="8"/>
        <v>2003</v>
      </c>
      <c r="B81" s="517">
        <v>37742</v>
      </c>
      <c r="C81" s="526">
        <v>1475.9399100000001</v>
      </c>
      <c r="D81" s="527">
        <v>0</v>
      </c>
      <c r="E81" s="528">
        <v>1475.9399100000001</v>
      </c>
    </row>
    <row r="82" spans="1:5" x14ac:dyDescent="0.3">
      <c r="A82">
        <f t="shared" si="8"/>
        <v>2003</v>
      </c>
      <c r="B82" s="517">
        <v>37834</v>
      </c>
      <c r="C82" s="518">
        <v>1869.0245299999999</v>
      </c>
      <c r="D82" s="519">
        <v>0</v>
      </c>
      <c r="E82" s="520">
        <v>1869.0245299999999</v>
      </c>
    </row>
    <row r="83" spans="1:5" x14ac:dyDescent="0.3">
      <c r="A83">
        <f t="shared" si="8"/>
        <v>2003</v>
      </c>
      <c r="B83" s="517">
        <v>37926</v>
      </c>
      <c r="C83" s="526">
        <v>2753.62574</v>
      </c>
      <c r="D83" s="527">
        <v>174.00700999999998</v>
      </c>
      <c r="E83" s="528">
        <v>2927.6327499999998</v>
      </c>
    </row>
    <row r="84" spans="1:5" x14ac:dyDescent="0.3">
      <c r="A84">
        <f t="shared" si="8"/>
        <v>2004</v>
      </c>
      <c r="B84" s="517">
        <v>38018</v>
      </c>
      <c r="C84" s="518">
        <v>2117.3186500000002</v>
      </c>
      <c r="D84" s="519">
        <v>363.32899000000003</v>
      </c>
      <c r="E84" s="520">
        <v>2480.6476400000001</v>
      </c>
    </row>
    <row r="85" spans="1:5" x14ac:dyDescent="0.3">
      <c r="A85">
        <f t="shared" si="8"/>
        <v>2004</v>
      </c>
      <c r="B85" s="517">
        <v>38108</v>
      </c>
      <c r="C85" s="526">
        <v>3151.5715</v>
      </c>
      <c r="D85" s="527">
        <v>0</v>
      </c>
      <c r="E85" s="528">
        <v>3151.5715</v>
      </c>
    </row>
    <row r="86" spans="1:5" x14ac:dyDescent="0.3">
      <c r="A86">
        <f t="shared" si="8"/>
        <v>2004</v>
      </c>
      <c r="B86" s="517">
        <v>38200</v>
      </c>
      <c r="C86" s="518">
        <v>2358.95235</v>
      </c>
      <c r="D86" s="519">
        <v>0</v>
      </c>
      <c r="E86" s="520">
        <v>2358.95235</v>
      </c>
    </row>
    <row r="87" spans="1:5" x14ac:dyDescent="0.3">
      <c r="A87">
        <f t="shared" si="8"/>
        <v>2004</v>
      </c>
      <c r="B87" s="517">
        <v>38292</v>
      </c>
      <c r="C87" s="526">
        <v>2796.2098800000003</v>
      </c>
      <c r="D87" s="527">
        <v>0</v>
      </c>
      <c r="E87" s="528">
        <v>2796.2098800000003</v>
      </c>
    </row>
    <row r="88" spans="1:5" x14ac:dyDescent="0.3">
      <c r="A88">
        <f t="shared" si="8"/>
        <v>2005</v>
      </c>
      <c r="B88" s="517">
        <v>38384</v>
      </c>
      <c r="C88" s="518">
        <v>2565.3805200000002</v>
      </c>
      <c r="D88" s="519">
        <v>213.79933</v>
      </c>
      <c r="E88" s="520">
        <v>2779.1798500000004</v>
      </c>
    </row>
    <row r="89" spans="1:5" x14ac:dyDescent="0.3">
      <c r="A89">
        <f t="shared" si="8"/>
        <v>2005</v>
      </c>
      <c r="B89" s="517">
        <v>38473</v>
      </c>
      <c r="C89" s="526">
        <v>2963.2002500000003</v>
      </c>
      <c r="D89" s="527">
        <v>0</v>
      </c>
      <c r="E89" s="528">
        <v>2963.2002500000003</v>
      </c>
    </row>
    <row r="90" spans="1:5" x14ac:dyDescent="0.3">
      <c r="A90">
        <f t="shared" si="8"/>
        <v>2005</v>
      </c>
      <c r="B90" s="517">
        <v>38565</v>
      </c>
      <c r="C90" s="518">
        <v>2774.6113</v>
      </c>
      <c r="D90" s="519">
        <v>171.53957</v>
      </c>
      <c r="E90" s="520">
        <v>2946.1508700000004</v>
      </c>
    </row>
    <row r="91" spans="1:5" x14ac:dyDescent="0.3">
      <c r="A91">
        <f t="shared" si="8"/>
        <v>2005</v>
      </c>
      <c r="B91" s="517">
        <v>38657</v>
      </c>
      <c r="C91" s="526">
        <v>3785.3323700000001</v>
      </c>
      <c r="D91" s="527">
        <v>197.68859999999998</v>
      </c>
      <c r="E91" s="528">
        <v>3983.02097</v>
      </c>
    </row>
    <row r="92" spans="1:5" x14ac:dyDescent="0.3">
      <c r="A92">
        <f t="shared" si="8"/>
        <v>2006</v>
      </c>
      <c r="B92" s="517">
        <v>38749</v>
      </c>
      <c r="C92" s="518">
        <v>4807.2119000000002</v>
      </c>
      <c r="D92" s="519">
        <v>171.19704999999999</v>
      </c>
      <c r="E92" s="520">
        <v>4978.40895</v>
      </c>
    </row>
    <row r="93" spans="1:5" x14ac:dyDescent="0.3">
      <c r="A93">
        <f t="shared" si="8"/>
        <v>2006</v>
      </c>
      <c r="B93" s="517">
        <v>38838</v>
      </c>
      <c r="C93" s="526">
        <v>5925.7304600000007</v>
      </c>
      <c r="D93" s="527">
        <v>390.90939000000003</v>
      </c>
      <c r="E93" s="528">
        <v>6316.6398500000005</v>
      </c>
    </row>
    <row r="94" spans="1:5" x14ac:dyDescent="0.3">
      <c r="A94">
        <f t="shared" si="8"/>
        <v>2006</v>
      </c>
      <c r="B94" s="517">
        <v>38930</v>
      </c>
      <c r="C94" s="518">
        <v>4339.5377399999998</v>
      </c>
      <c r="D94" s="519">
        <v>395.00825000000003</v>
      </c>
      <c r="E94" s="520">
        <v>4734.5459899999996</v>
      </c>
    </row>
    <row r="95" spans="1:5" x14ac:dyDescent="0.3">
      <c r="A95">
        <f t="shared" si="8"/>
        <v>2006</v>
      </c>
      <c r="B95" s="517">
        <v>39022</v>
      </c>
      <c r="C95" s="526">
        <v>4075.5439100000003</v>
      </c>
      <c r="D95" s="527">
        <v>183.45438999999999</v>
      </c>
      <c r="E95" s="528">
        <v>4258.9983000000002</v>
      </c>
    </row>
    <row r="96" spans="1:5" x14ac:dyDescent="0.3">
      <c r="A96">
        <f t="shared" si="8"/>
        <v>2007</v>
      </c>
      <c r="B96" s="517">
        <v>39114</v>
      </c>
      <c r="C96" s="518">
        <v>5286.7022999999999</v>
      </c>
      <c r="D96" s="519">
        <v>301.38447000000002</v>
      </c>
      <c r="E96" s="520">
        <v>5588.0867699999999</v>
      </c>
    </row>
    <row r="97" spans="1:5" x14ac:dyDescent="0.3">
      <c r="A97">
        <f t="shared" si="8"/>
        <v>2007</v>
      </c>
      <c r="B97" s="517">
        <v>39203</v>
      </c>
      <c r="C97" s="526">
        <v>4305.8670599999996</v>
      </c>
      <c r="D97" s="527">
        <v>169.7655</v>
      </c>
      <c r="E97" s="528">
        <v>4475.6325599999991</v>
      </c>
    </row>
    <row r="98" spans="1:5" x14ac:dyDescent="0.3">
      <c r="A98">
        <f t="shared" si="8"/>
        <v>2007</v>
      </c>
      <c r="B98" s="517">
        <v>39295</v>
      </c>
      <c r="C98" s="518">
        <v>4636.6353300000001</v>
      </c>
      <c r="D98" s="519">
        <v>0</v>
      </c>
      <c r="E98" s="520">
        <v>4636.6353300000001</v>
      </c>
    </row>
    <row r="99" spans="1:5" x14ac:dyDescent="0.3">
      <c r="A99">
        <f t="shared" si="8"/>
        <v>2007</v>
      </c>
      <c r="B99" s="517">
        <v>39387</v>
      </c>
      <c r="C99" s="526">
        <v>4728.73416</v>
      </c>
      <c r="D99" s="527">
        <v>0</v>
      </c>
      <c r="E99" s="528">
        <v>4728.73416</v>
      </c>
    </row>
    <row r="100" spans="1:5" x14ac:dyDescent="0.3">
      <c r="A100">
        <f t="shared" si="8"/>
        <v>2008</v>
      </c>
      <c r="B100" s="517">
        <v>39479</v>
      </c>
      <c r="C100" s="518">
        <v>6550.0600999999997</v>
      </c>
      <c r="D100" s="519">
        <v>377.62277999999998</v>
      </c>
      <c r="E100" s="520">
        <v>6927.6828800000003</v>
      </c>
    </row>
    <row r="101" spans="1:5" x14ac:dyDescent="0.3">
      <c r="A101">
        <f t="shared" si="8"/>
        <v>2008</v>
      </c>
      <c r="B101" s="517">
        <v>39569</v>
      </c>
      <c r="C101" s="526">
        <v>5511.8304899999994</v>
      </c>
      <c r="D101" s="527">
        <v>272.40357</v>
      </c>
      <c r="E101" s="528">
        <v>5784.2340599999989</v>
      </c>
    </row>
    <row r="102" spans="1:5" x14ac:dyDescent="0.3">
      <c r="A102">
        <f t="shared" si="8"/>
        <v>2008</v>
      </c>
      <c r="B102" s="517">
        <v>39661</v>
      </c>
      <c r="C102" s="518">
        <v>6216.872260000001</v>
      </c>
      <c r="D102" s="519">
        <v>0</v>
      </c>
      <c r="E102" s="520">
        <v>6216.872260000001</v>
      </c>
    </row>
    <row r="103" spans="1:5" x14ac:dyDescent="0.3">
      <c r="A103">
        <f t="shared" si="8"/>
        <v>2008</v>
      </c>
      <c r="B103" s="517">
        <v>39753</v>
      </c>
      <c r="C103" s="526">
        <v>6498.8677299999999</v>
      </c>
      <c r="D103" s="527">
        <v>0</v>
      </c>
      <c r="E103" s="528">
        <v>6498.8677299999999</v>
      </c>
    </row>
    <row r="104" spans="1:5" x14ac:dyDescent="0.3">
      <c r="A104">
        <f t="shared" si="8"/>
        <v>2009</v>
      </c>
      <c r="B104" s="517">
        <v>39845</v>
      </c>
      <c r="C104" s="518">
        <v>5577.51908</v>
      </c>
      <c r="D104" s="519">
        <v>0</v>
      </c>
      <c r="E104" s="520">
        <v>5577.51908</v>
      </c>
    </row>
    <row r="105" spans="1:5" x14ac:dyDescent="0.3">
      <c r="A105">
        <f t="shared" si="8"/>
        <v>2009</v>
      </c>
      <c r="B105" s="517">
        <v>39934</v>
      </c>
      <c r="C105" s="526">
        <v>5476.8998499999998</v>
      </c>
      <c r="D105" s="527">
        <v>0</v>
      </c>
      <c r="E105" s="528">
        <v>5476.8998499999998</v>
      </c>
    </row>
    <row r="106" spans="1:5" x14ac:dyDescent="0.3">
      <c r="A106">
        <f t="shared" si="8"/>
        <v>2009</v>
      </c>
      <c r="B106" s="517">
        <v>40026</v>
      </c>
      <c r="C106" s="518">
        <v>5081.4705100000001</v>
      </c>
      <c r="D106" s="519">
        <v>319.72246000000001</v>
      </c>
      <c r="E106" s="520">
        <v>5401.1929700000001</v>
      </c>
    </row>
    <row r="107" spans="1:5" x14ac:dyDescent="0.3">
      <c r="A107">
        <f t="shared" si="8"/>
        <v>2009</v>
      </c>
      <c r="B107" s="517">
        <v>40118</v>
      </c>
      <c r="C107" s="526">
        <v>7108.5971899999995</v>
      </c>
      <c r="D107" s="527">
        <v>0</v>
      </c>
      <c r="E107" s="528">
        <v>7108.5971899999995</v>
      </c>
    </row>
    <row r="108" spans="1:5" x14ac:dyDescent="0.3">
      <c r="A108">
        <f t="shared" si="8"/>
        <v>2010</v>
      </c>
      <c r="B108" s="517">
        <v>40210</v>
      </c>
      <c r="C108" s="518">
        <v>8094.606499999999</v>
      </c>
      <c r="D108" s="519">
        <v>0</v>
      </c>
      <c r="E108" s="520">
        <v>8094.606499999999</v>
      </c>
    </row>
    <row r="109" spans="1:5" x14ac:dyDescent="0.3">
      <c r="A109">
        <f t="shared" si="8"/>
        <v>2010</v>
      </c>
      <c r="B109" s="517">
        <v>40299</v>
      </c>
      <c r="C109" s="526">
        <v>7904.5798299999997</v>
      </c>
      <c r="D109" s="527">
        <v>0</v>
      </c>
      <c r="E109" s="528">
        <v>7904.5798299999997</v>
      </c>
    </row>
    <row r="110" spans="1:5" x14ac:dyDescent="0.3">
      <c r="A110">
        <f t="shared" si="8"/>
        <v>2010</v>
      </c>
      <c r="B110" s="517">
        <v>40391</v>
      </c>
      <c r="C110" s="518">
        <v>7417.5504600000004</v>
      </c>
      <c r="D110" s="519">
        <v>0</v>
      </c>
      <c r="E110" s="520">
        <v>7417.5504600000004</v>
      </c>
    </row>
    <row r="111" spans="1:5" x14ac:dyDescent="0.3">
      <c r="A111">
        <f t="shared" si="8"/>
        <v>2010</v>
      </c>
      <c r="B111" s="517">
        <v>40483</v>
      </c>
      <c r="C111" s="526">
        <v>4323.24701</v>
      </c>
      <c r="D111" s="527">
        <v>0</v>
      </c>
      <c r="E111" s="528">
        <v>4323.24701</v>
      </c>
    </row>
    <row r="112" spans="1:5" x14ac:dyDescent="0.3">
      <c r="A112">
        <f t="shared" si="8"/>
        <v>2011</v>
      </c>
      <c r="B112" s="517">
        <v>40575</v>
      </c>
      <c r="C112" s="518">
        <v>3599.57627</v>
      </c>
      <c r="D112" s="519">
        <v>655.40489000000002</v>
      </c>
      <c r="E112" s="520">
        <v>4254.9811599999994</v>
      </c>
    </row>
    <row r="113" spans="1:5" x14ac:dyDescent="0.3">
      <c r="A113">
        <f t="shared" si="8"/>
        <v>2011</v>
      </c>
      <c r="B113" s="517">
        <v>40664</v>
      </c>
      <c r="C113" s="526">
        <v>7101.3756399999993</v>
      </c>
      <c r="D113" s="527">
        <v>310.68288000000001</v>
      </c>
      <c r="E113" s="528">
        <v>7412.0585199999996</v>
      </c>
    </row>
    <row r="114" spans="1:5" x14ac:dyDescent="0.3">
      <c r="A114">
        <f t="shared" si="8"/>
        <v>2011</v>
      </c>
      <c r="B114" s="517">
        <v>40756</v>
      </c>
      <c r="C114" s="518">
        <v>8016.8924799999995</v>
      </c>
      <c r="D114" s="519">
        <v>0</v>
      </c>
      <c r="E114" s="520">
        <v>8016.8924799999995</v>
      </c>
    </row>
    <row r="115" spans="1:5" x14ac:dyDescent="0.3">
      <c r="A115">
        <f t="shared" si="8"/>
        <v>2011</v>
      </c>
      <c r="B115" s="517">
        <v>40848</v>
      </c>
      <c r="C115" s="526">
        <v>8055.3830400000006</v>
      </c>
      <c r="D115" s="527">
        <v>314.84814999999998</v>
      </c>
      <c r="E115" s="528">
        <v>8370.2311900000004</v>
      </c>
    </row>
    <row r="116" spans="1:5" x14ac:dyDescent="0.3">
      <c r="A116">
        <f t="shared" si="8"/>
        <v>2012</v>
      </c>
      <c r="B116" s="517">
        <v>40940</v>
      </c>
      <c r="C116" s="518">
        <v>6813.8485900000005</v>
      </c>
      <c r="D116" s="519">
        <v>0</v>
      </c>
      <c r="E116" s="520">
        <v>6813.8485900000005</v>
      </c>
    </row>
    <row r="117" spans="1:5" x14ac:dyDescent="0.3">
      <c r="A117">
        <f t="shared" si="8"/>
        <v>2012</v>
      </c>
      <c r="B117" s="517">
        <v>41030</v>
      </c>
      <c r="C117" s="526">
        <v>7240.4618200000004</v>
      </c>
      <c r="D117" s="527">
        <v>0</v>
      </c>
      <c r="E117" s="528">
        <v>7240.4618200000004</v>
      </c>
    </row>
    <row r="118" spans="1:5" x14ac:dyDescent="0.3">
      <c r="A118">
        <f t="shared" si="8"/>
        <v>2012</v>
      </c>
      <c r="B118" s="517">
        <v>41122</v>
      </c>
      <c r="C118" s="518">
        <v>9097.3980900000006</v>
      </c>
      <c r="D118" s="519">
        <v>278.03185000000002</v>
      </c>
      <c r="E118" s="520">
        <v>9375.42994</v>
      </c>
    </row>
    <row r="119" spans="1:5" x14ac:dyDescent="0.3">
      <c r="A119">
        <f t="shared" si="8"/>
        <v>2012</v>
      </c>
      <c r="B119" s="517">
        <v>41214</v>
      </c>
      <c r="C119" s="526">
        <v>11522.309570000001</v>
      </c>
      <c r="D119" s="527">
        <v>561.08993999999996</v>
      </c>
      <c r="E119" s="528">
        <v>12083.399510000001</v>
      </c>
    </row>
    <row r="120" spans="1:5" x14ac:dyDescent="0.3">
      <c r="A120">
        <f t="shared" si="8"/>
        <v>2013</v>
      </c>
      <c r="B120" s="517">
        <v>41306</v>
      </c>
      <c r="C120" s="518">
        <v>9181.0979100000004</v>
      </c>
      <c r="D120" s="519">
        <v>0</v>
      </c>
      <c r="E120" s="520">
        <v>9181.0979100000004</v>
      </c>
    </row>
    <row r="121" spans="1:5" x14ac:dyDescent="0.3">
      <c r="A121">
        <f t="shared" si="8"/>
        <v>2013</v>
      </c>
      <c r="B121" s="517">
        <v>41395</v>
      </c>
      <c r="C121" s="526">
        <v>11615.09275</v>
      </c>
      <c r="D121" s="527">
        <v>762.41327000000001</v>
      </c>
      <c r="E121" s="528">
        <v>12377.506020000001</v>
      </c>
    </row>
    <row r="122" spans="1:5" x14ac:dyDescent="0.3">
      <c r="A122">
        <f t="shared" si="8"/>
        <v>2013</v>
      </c>
      <c r="B122" s="517">
        <v>41487</v>
      </c>
      <c r="C122" s="518">
        <v>8144.4679599999999</v>
      </c>
      <c r="D122" s="519">
        <v>383.82393999999999</v>
      </c>
      <c r="E122" s="520">
        <v>8528.2919000000002</v>
      </c>
    </row>
    <row r="123" spans="1:5" x14ac:dyDescent="0.3">
      <c r="A123">
        <f t="shared" si="8"/>
        <v>2013</v>
      </c>
      <c r="B123" s="517">
        <v>41579</v>
      </c>
      <c r="C123" s="526">
        <v>9837.52808</v>
      </c>
      <c r="D123" s="527">
        <v>0</v>
      </c>
      <c r="E123" s="528">
        <v>9837.52808</v>
      </c>
    </row>
    <row r="124" spans="1:5" x14ac:dyDescent="0.3">
      <c r="A124">
        <f t="shared" si="8"/>
        <v>2014</v>
      </c>
      <c r="B124" s="517">
        <v>41671</v>
      </c>
      <c r="C124" s="518">
        <v>11522.46326</v>
      </c>
      <c r="D124" s="519">
        <v>380.45771999999999</v>
      </c>
      <c r="E124" s="520">
        <v>11902.920980000001</v>
      </c>
    </row>
    <row r="125" spans="1:5" x14ac:dyDescent="0.3">
      <c r="A125">
        <f t="shared" si="8"/>
        <v>2014</v>
      </c>
      <c r="B125" s="517">
        <v>41760</v>
      </c>
      <c r="C125" s="526">
        <v>8799.7828200000004</v>
      </c>
      <c r="D125" s="527">
        <v>754.50301000000002</v>
      </c>
      <c r="E125" s="528">
        <v>9554.2858300000007</v>
      </c>
    </row>
    <row r="126" spans="1:5" x14ac:dyDescent="0.3">
      <c r="A126">
        <f t="shared" si="8"/>
        <v>2014</v>
      </c>
      <c r="B126" s="517">
        <v>41852</v>
      </c>
      <c r="C126" s="518">
        <v>8890.4603400000015</v>
      </c>
      <c r="D126" s="519">
        <v>400.05047000000002</v>
      </c>
      <c r="E126" s="520">
        <v>9290.5108099999998</v>
      </c>
    </row>
    <row r="127" spans="1:5" x14ac:dyDescent="0.3">
      <c r="A127">
        <f t="shared" si="8"/>
        <v>2014</v>
      </c>
      <c r="B127" s="517">
        <v>41944</v>
      </c>
      <c r="C127" s="526">
        <v>8292.2614999999987</v>
      </c>
      <c r="D127" s="527">
        <v>318.21081000000004</v>
      </c>
      <c r="E127" s="528">
        <v>8610.4723099999992</v>
      </c>
    </row>
    <row r="128" spans="1:5" x14ac:dyDescent="0.3">
      <c r="A128">
        <f t="shared" si="8"/>
        <v>2015</v>
      </c>
      <c r="B128" s="517">
        <v>42036</v>
      </c>
      <c r="C128" s="518">
        <v>7750.2979400000004</v>
      </c>
      <c r="D128" s="519">
        <v>273.21186</v>
      </c>
      <c r="E128" s="520">
        <v>8023.5097999999998</v>
      </c>
    </row>
    <row r="129" spans="1:5" x14ac:dyDescent="0.3">
      <c r="A129">
        <f t="shared" si="8"/>
        <v>2015</v>
      </c>
      <c r="B129" s="517">
        <v>42125</v>
      </c>
      <c r="C129" s="526">
        <v>13071.805609999999</v>
      </c>
      <c r="D129" s="527">
        <v>0</v>
      </c>
      <c r="E129" s="528">
        <v>13071.805609999999</v>
      </c>
    </row>
    <row r="130" spans="1:5" x14ac:dyDescent="0.3">
      <c r="A130">
        <f t="shared" si="8"/>
        <v>2015</v>
      </c>
      <c r="B130" s="517">
        <v>42217</v>
      </c>
      <c r="C130" s="518">
        <v>16814.528119999999</v>
      </c>
      <c r="D130" s="519">
        <v>698.74162999999999</v>
      </c>
      <c r="E130" s="520">
        <v>17513.269749999999</v>
      </c>
    </row>
    <row r="131" spans="1:5" x14ac:dyDescent="0.3">
      <c r="A131">
        <f t="shared" si="8"/>
        <v>2015</v>
      </c>
      <c r="B131" s="517">
        <v>42309</v>
      </c>
      <c r="C131" s="526">
        <v>7287.5136600000005</v>
      </c>
      <c r="D131" s="527">
        <v>359.85488999999995</v>
      </c>
      <c r="E131" s="528">
        <v>7647.3685500000001</v>
      </c>
    </row>
    <row r="132" spans="1:5" x14ac:dyDescent="0.3">
      <c r="A132">
        <f t="shared" si="8"/>
        <v>2016</v>
      </c>
      <c r="B132" s="517">
        <v>42401</v>
      </c>
      <c r="C132" s="518">
        <v>7783.8587300000008</v>
      </c>
      <c r="D132" s="519">
        <v>269.19865999999996</v>
      </c>
      <c r="E132" s="520">
        <v>8053.0573900000009</v>
      </c>
    </row>
    <row r="133" spans="1:5" x14ac:dyDescent="0.3">
      <c r="A133">
        <f t="shared" si="8"/>
        <v>2016</v>
      </c>
      <c r="B133" s="517">
        <v>42491</v>
      </c>
      <c r="C133" s="526">
        <v>11349.81241</v>
      </c>
      <c r="D133" s="527">
        <v>1921.9725999999998</v>
      </c>
      <c r="E133" s="528">
        <v>13271.78501</v>
      </c>
    </row>
    <row r="134" spans="1:5" x14ac:dyDescent="0.3">
      <c r="A134">
        <f t="shared" si="8"/>
        <v>2016</v>
      </c>
      <c r="B134" s="517">
        <v>42583</v>
      </c>
      <c r="C134" s="518">
        <v>7849.6991499999995</v>
      </c>
      <c r="D134" s="519">
        <v>981.04370000000006</v>
      </c>
      <c r="E134" s="520">
        <v>8830.7428500000005</v>
      </c>
    </row>
    <row r="135" spans="1:5" x14ac:dyDescent="0.3">
      <c r="A135">
        <f t="shared" si="8"/>
        <v>2016</v>
      </c>
      <c r="B135" s="517">
        <v>42675</v>
      </c>
      <c r="C135" s="526">
        <v>11010.651979999999</v>
      </c>
      <c r="D135" s="527">
        <v>26.88306</v>
      </c>
      <c r="E135" s="528">
        <v>11037.535039999999</v>
      </c>
    </row>
    <row r="136" spans="1:5" x14ac:dyDescent="0.3">
      <c r="A136">
        <f t="shared" si="8"/>
        <v>2017</v>
      </c>
      <c r="B136" s="517">
        <v>42767</v>
      </c>
      <c r="C136" s="518">
        <v>8930.9122100000004</v>
      </c>
      <c r="D136" s="519">
        <v>1098.7333000000001</v>
      </c>
      <c r="E136" s="520">
        <v>10029.645510000002</v>
      </c>
    </row>
    <row r="137" spans="1:5" x14ac:dyDescent="0.3">
      <c r="A137">
        <f t="shared" ref="A137:A163" si="9">YEAR(B137)</f>
        <v>2017</v>
      </c>
      <c r="B137" s="517">
        <v>42856</v>
      </c>
      <c r="C137" s="526">
        <v>6841.6493600000003</v>
      </c>
      <c r="D137" s="527">
        <v>53.406680000000001</v>
      </c>
      <c r="E137" s="528">
        <v>6895.0560400000004</v>
      </c>
    </row>
    <row r="138" spans="1:5" x14ac:dyDescent="0.3">
      <c r="A138">
        <f t="shared" si="9"/>
        <v>2017</v>
      </c>
      <c r="B138" s="517">
        <v>42948</v>
      </c>
      <c r="C138" s="518">
        <v>10026.677</v>
      </c>
      <c r="D138" s="519">
        <v>1013.3688599999999</v>
      </c>
      <c r="E138" s="520">
        <v>11040.04586</v>
      </c>
    </row>
    <row r="139" spans="1:5" x14ac:dyDescent="0.3">
      <c r="A139">
        <f t="shared" si="9"/>
        <v>2017</v>
      </c>
      <c r="B139" s="517">
        <v>43040</v>
      </c>
      <c r="C139" s="526">
        <v>12133.27017</v>
      </c>
      <c r="D139" s="527">
        <v>53.20975</v>
      </c>
      <c r="E139" s="528">
        <v>12186.47992</v>
      </c>
    </row>
    <row r="140" spans="1:5" x14ac:dyDescent="0.3">
      <c r="A140">
        <f t="shared" si="9"/>
        <v>2018</v>
      </c>
      <c r="B140" s="517">
        <v>43132</v>
      </c>
      <c r="C140" s="518">
        <v>16435.609549999997</v>
      </c>
      <c r="D140" s="519">
        <v>1137.1143500000001</v>
      </c>
      <c r="E140" s="520">
        <v>17572.723900000001</v>
      </c>
    </row>
    <row r="141" spans="1:5" x14ac:dyDescent="0.3">
      <c r="A141">
        <f t="shared" si="9"/>
        <v>2018</v>
      </c>
      <c r="B141" s="517">
        <v>43221</v>
      </c>
      <c r="C141" s="526">
        <v>15084.76621</v>
      </c>
      <c r="D141" s="527">
        <v>52.967950000000002</v>
      </c>
      <c r="E141" s="528">
        <v>15137.734159999998</v>
      </c>
    </row>
    <row r="142" spans="1:5" x14ac:dyDescent="0.3">
      <c r="A142">
        <f t="shared" si="9"/>
        <v>2018</v>
      </c>
      <c r="B142" s="517">
        <v>43313</v>
      </c>
      <c r="C142" s="518">
        <v>15202.845179999998</v>
      </c>
      <c r="D142" s="519">
        <v>501.33768000000003</v>
      </c>
      <c r="E142" s="520">
        <v>15704.182859999999</v>
      </c>
    </row>
    <row r="143" spans="1:5" x14ac:dyDescent="0.3">
      <c r="A143">
        <f t="shared" si="9"/>
        <v>2018</v>
      </c>
      <c r="B143" s="517">
        <v>43405</v>
      </c>
      <c r="C143" s="526">
        <v>16307.346810000003</v>
      </c>
      <c r="D143" s="527">
        <v>1370.0255999999999</v>
      </c>
      <c r="E143" s="528">
        <v>17677.372410000004</v>
      </c>
    </row>
    <row r="144" spans="1:5" x14ac:dyDescent="0.3">
      <c r="A144">
        <f t="shared" si="9"/>
        <v>2019</v>
      </c>
      <c r="B144" s="517">
        <v>43497</v>
      </c>
      <c r="C144" s="518">
        <v>10572.10512</v>
      </c>
      <c r="D144" s="519">
        <v>440.92494999999997</v>
      </c>
      <c r="E144" s="520">
        <v>11013.030069999999</v>
      </c>
    </row>
    <row r="145" spans="1:5" x14ac:dyDescent="0.3">
      <c r="A145">
        <f t="shared" si="9"/>
        <v>2019</v>
      </c>
      <c r="B145" s="517">
        <v>43586</v>
      </c>
      <c r="C145" s="526">
        <v>14565.19519</v>
      </c>
      <c r="D145" s="527">
        <v>864.46992</v>
      </c>
      <c r="E145" s="528">
        <v>15429.66511</v>
      </c>
    </row>
    <row r="146" spans="1:5" x14ac:dyDescent="0.3">
      <c r="A146">
        <f t="shared" si="9"/>
        <v>2019</v>
      </c>
      <c r="B146" s="517">
        <v>43678</v>
      </c>
      <c r="C146" s="518">
        <v>16523.502820000002</v>
      </c>
      <c r="D146" s="519">
        <v>882.4528499999999</v>
      </c>
      <c r="E146" s="520">
        <v>17405.955669999999</v>
      </c>
    </row>
    <row r="147" spans="1:5" x14ac:dyDescent="0.3">
      <c r="A147">
        <f t="shared" si="9"/>
        <v>2019</v>
      </c>
      <c r="B147" s="517">
        <v>43770</v>
      </c>
      <c r="C147" s="526">
        <v>19533.332969999999</v>
      </c>
      <c r="D147" s="527">
        <v>2116.8078699999996</v>
      </c>
      <c r="E147" s="528">
        <v>21650.14084</v>
      </c>
    </row>
    <row r="148" spans="1:5" x14ac:dyDescent="0.3">
      <c r="A148">
        <f t="shared" si="9"/>
        <v>2020</v>
      </c>
      <c r="B148" s="517">
        <v>43862</v>
      </c>
      <c r="C148" s="518">
        <v>13395.609119999999</v>
      </c>
      <c r="D148" s="519">
        <v>479.20724999999999</v>
      </c>
      <c r="E148" s="520">
        <v>13874.81637</v>
      </c>
    </row>
    <row r="149" spans="1:5" x14ac:dyDescent="0.3">
      <c r="A149">
        <f t="shared" si="9"/>
        <v>2020</v>
      </c>
      <c r="B149" s="517">
        <v>43952</v>
      </c>
      <c r="C149" s="526">
        <v>9356.5566600000002</v>
      </c>
      <c r="D149" s="527">
        <v>365.80545000000001</v>
      </c>
      <c r="E149" s="528">
        <v>9722.36211</v>
      </c>
    </row>
    <row r="150" spans="1:5" x14ac:dyDescent="0.3">
      <c r="A150">
        <f t="shared" si="9"/>
        <v>2020</v>
      </c>
      <c r="B150" s="517">
        <v>44044</v>
      </c>
      <c r="C150" s="518">
        <v>10085.938410000001</v>
      </c>
      <c r="D150" s="519">
        <v>511.86063999999999</v>
      </c>
      <c r="E150" s="520">
        <v>10597.799050000001</v>
      </c>
    </row>
    <row r="151" spans="1:5" x14ac:dyDescent="0.3">
      <c r="A151">
        <f t="shared" si="9"/>
        <v>2020</v>
      </c>
      <c r="B151" s="517">
        <v>44136</v>
      </c>
      <c r="C151" s="526">
        <v>15253.27578</v>
      </c>
      <c r="D151" s="527">
        <v>51.579160000000002</v>
      </c>
      <c r="E151" s="528">
        <v>15304.854939999999</v>
      </c>
    </row>
    <row r="152" spans="1:5" x14ac:dyDescent="0.3">
      <c r="A152">
        <f t="shared" si="9"/>
        <v>2021</v>
      </c>
      <c r="B152" s="517">
        <v>44228</v>
      </c>
      <c r="C152" s="518">
        <v>9575.0134300000009</v>
      </c>
      <c r="D152" s="519">
        <v>51.456879999999998</v>
      </c>
      <c r="E152" s="520">
        <v>9626.4703100000006</v>
      </c>
    </row>
    <row r="153" spans="1:5" x14ac:dyDescent="0.3">
      <c r="A153">
        <f t="shared" si="9"/>
        <v>2021</v>
      </c>
      <c r="B153" s="517">
        <v>44317</v>
      </c>
      <c r="C153" s="526">
        <v>9643.9390500000009</v>
      </c>
      <c r="D153" s="527">
        <v>707.57213000000002</v>
      </c>
      <c r="E153" s="528">
        <v>10351.51118</v>
      </c>
    </row>
    <row r="154" spans="1:5" x14ac:dyDescent="0.3">
      <c r="A154">
        <f t="shared" si="9"/>
        <v>2021</v>
      </c>
      <c r="B154" s="517">
        <v>44409</v>
      </c>
      <c r="C154" s="518">
        <v>10871.123619999998</v>
      </c>
      <c r="D154" s="519">
        <v>758.52020000000005</v>
      </c>
      <c r="E154" s="520">
        <v>11629.643819999998</v>
      </c>
    </row>
    <row r="155" spans="1:5" x14ac:dyDescent="0.3">
      <c r="A155">
        <f t="shared" si="9"/>
        <v>2021</v>
      </c>
      <c r="B155" s="517">
        <v>44501</v>
      </c>
      <c r="C155" s="526">
        <v>11821.66107</v>
      </c>
      <c r="D155" s="527">
        <v>1383.09924</v>
      </c>
      <c r="E155" s="528">
        <v>13204.76031</v>
      </c>
    </row>
    <row r="156" spans="1:5" x14ac:dyDescent="0.3">
      <c r="A156">
        <f t="shared" si="9"/>
        <v>2022</v>
      </c>
      <c r="B156" s="517">
        <v>44593</v>
      </c>
      <c r="C156" s="518">
        <v>13101.380410000002</v>
      </c>
      <c r="D156" s="519">
        <v>1832.1648</v>
      </c>
      <c r="E156" s="520">
        <v>14933.54521</v>
      </c>
    </row>
    <row r="157" spans="1:5" x14ac:dyDescent="0.3">
      <c r="A157">
        <f t="shared" si="9"/>
        <v>2022</v>
      </c>
      <c r="B157" s="517">
        <v>44682</v>
      </c>
      <c r="C157" s="526">
        <v>9904.0654099999992</v>
      </c>
      <c r="D157" s="527">
        <v>376.08163999999999</v>
      </c>
      <c r="E157" s="528">
        <v>10280.14705</v>
      </c>
    </row>
    <row r="158" spans="1:5" x14ac:dyDescent="0.3">
      <c r="A158">
        <f t="shared" si="9"/>
        <v>2022</v>
      </c>
      <c r="B158" s="517">
        <v>44774</v>
      </c>
      <c r="C158" s="518">
        <v>10592.491550000001</v>
      </c>
      <c r="D158" s="519">
        <v>857.55684999999994</v>
      </c>
      <c r="E158" s="520">
        <v>11450.0484</v>
      </c>
    </row>
    <row r="159" spans="1:5" x14ac:dyDescent="0.3">
      <c r="A159">
        <f t="shared" si="9"/>
        <v>2022</v>
      </c>
      <c r="B159" s="517">
        <v>44866</v>
      </c>
      <c r="C159" s="526">
        <v>11780.939629999999</v>
      </c>
      <c r="D159" s="527">
        <v>1016.2534000000001</v>
      </c>
      <c r="E159" s="528">
        <v>12797.193029999999</v>
      </c>
    </row>
    <row r="160" spans="1:5" x14ac:dyDescent="0.3">
      <c r="A160">
        <f t="shared" si="9"/>
        <v>2023</v>
      </c>
      <c r="B160" s="517">
        <v>44958</v>
      </c>
      <c r="C160" s="518">
        <v>13819.509749999999</v>
      </c>
      <c r="D160" s="519">
        <v>396.39828999999997</v>
      </c>
      <c r="E160" s="520">
        <v>14215.90804</v>
      </c>
    </row>
    <row r="161" spans="1:5" x14ac:dyDescent="0.3">
      <c r="A161">
        <f t="shared" si="9"/>
        <v>2023</v>
      </c>
      <c r="B161" s="517">
        <v>45047</v>
      </c>
      <c r="C161" s="526">
        <v>9013.3626899999999</v>
      </c>
      <c r="D161" s="527">
        <v>420.25067000000001</v>
      </c>
      <c r="E161" s="528">
        <v>9433.6133599999994</v>
      </c>
    </row>
    <row r="162" spans="1:5" x14ac:dyDescent="0.3">
      <c r="A162">
        <f t="shared" si="9"/>
        <v>2023</v>
      </c>
      <c r="B162" s="517">
        <v>45139</v>
      </c>
      <c r="C162" s="518">
        <v>8119.4735100000007</v>
      </c>
      <c r="D162" s="519">
        <v>1282.1322499999999</v>
      </c>
      <c r="E162" s="520">
        <v>9401.6057600000004</v>
      </c>
    </row>
    <row r="163" spans="1:5" x14ac:dyDescent="0.3">
      <c r="A163">
        <f t="shared" si="9"/>
        <v>2023</v>
      </c>
      <c r="B163" s="517">
        <v>45231</v>
      </c>
      <c r="C163" s="526">
        <v>5919.2554899999996</v>
      </c>
      <c r="D163" s="527">
        <v>1036.9013</v>
      </c>
      <c r="E163" s="528">
        <v>6956.15679</v>
      </c>
    </row>
    <row r="164" spans="1:5" x14ac:dyDescent="0.3">
      <c r="B164" s="517">
        <v>45323</v>
      </c>
      <c r="C164" s="518">
        <v>7577.4160499999998</v>
      </c>
      <c r="D164" s="519">
        <v>967.69922000000008</v>
      </c>
      <c r="E164" s="520">
        <v>8545.1152700000002</v>
      </c>
    </row>
    <row r="165" spans="1:5" ht="15" thickBot="1" x14ac:dyDescent="0.35">
      <c r="B165" s="535">
        <v>45413</v>
      </c>
      <c r="C165" s="531">
        <v>6296.5899099999997</v>
      </c>
      <c r="D165" s="532">
        <v>839.53967999999998</v>
      </c>
      <c r="E165" s="533">
        <v>7136.1295899999996</v>
      </c>
    </row>
  </sheetData>
  <mergeCells count="3">
    <mergeCell ref="B6:E6"/>
    <mergeCell ref="H6:K6"/>
    <mergeCell ref="M6:P6"/>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F2ABD-C055-4F6F-B363-017EC739E182}">
  <sheetPr codeName="Sheet22">
    <pageSetUpPr autoPageBreaks="0"/>
  </sheetPr>
  <dimension ref="A1:JD136"/>
  <sheetViews>
    <sheetView showGridLines="0" zoomScale="85" zoomScaleNormal="85" workbookViewId="0">
      <pane xSplit="1" topLeftCell="B1" activePane="topRight" state="frozen"/>
      <selection pane="topRight"/>
    </sheetView>
  </sheetViews>
  <sheetFormatPr defaultRowHeight="14.4" x14ac:dyDescent="0.3"/>
  <cols>
    <col min="1" max="1" width="66.88671875" customWidth="1"/>
    <col min="2" max="3" width="10.44140625" bestFit="1" customWidth="1"/>
    <col min="4" max="24" width="9.88671875" bestFit="1" customWidth="1"/>
    <col min="25" max="53" width="10.109375" bestFit="1" customWidth="1"/>
    <col min="54" max="58" width="9.88671875" bestFit="1" customWidth="1"/>
    <col min="59" max="71" width="11.109375" bestFit="1" customWidth="1"/>
    <col min="72" max="124" width="9.88671875" bestFit="1" customWidth="1"/>
    <col min="125" max="126" width="9.5546875" bestFit="1" customWidth="1"/>
    <col min="127" max="127" width="9.88671875" bestFit="1" customWidth="1"/>
    <col min="128" max="148" width="9.6640625" customWidth="1"/>
    <col min="149" max="510" width="9.33203125" bestFit="1" customWidth="1"/>
  </cols>
  <sheetData>
    <row r="1" spans="1:264" s="411" customFormat="1" ht="15.75" customHeight="1" x14ac:dyDescent="0.2">
      <c r="A1" s="411" t="s">
        <v>190</v>
      </c>
      <c r="B1" s="411">
        <f>MONTH(B7)</f>
        <v>1</v>
      </c>
      <c r="C1" s="411">
        <f t="shared" ref="C1:BN1" si="0">MONTH(C7)</f>
        <v>2</v>
      </c>
      <c r="D1" s="411">
        <f t="shared" si="0"/>
        <v>3</v>
      </c>
      <c r="E1" s="411">
        <f t="shared" si="0"/>
        <v>4</v>
      </c>
      <c r="F1" s="411">
        <f t="shared" si="0"/>
        <v>5</v>
      </c>
      <c r="G1" s="411">
        <f t="shared" si="0"/>
        <v>6</v>
      </c>
      <c r="H1" s="411">
        <f t="shared" si="0"/>
        <v>7</v>
      </c>
      <c r="I1" s="411">
        <f t="shared" si="0"/>
        <v>8</v>
      </c>
      <c r="J1" s="411">
        <f t="shared" si="0"/>
        <v>9</v>
      </c>
      <c r="K1" s="411">
        <f t="shared" si="0"/>
        <v>10</v>
      </c>
      <c r="L1" s="411">
        <f t="shared" si="0"/>
        <v>11</v>
      </c>
      <c r="M1" s="411">
        <f t="shared" si="0"/>
        <v>12</v>
      </c>
      <c r="N1" s="411">
        <f t="shared" si="0"/>
        <v>1</v>
      </c>
      <c r="O1" s="411">
        <f t="shared" si="0"/>
        <v>2</v>
      </c>
      <c r="P1" s="411">
        <f t="shared" si="0"/>
        <v>3</v>
      </c>
      <c r="Q1" s="411">
        <f t="shared" si="0"/>
        <v>4</v>
      </c>
      <c r="R1" s="411">
        <f t="shared" si="0"/>
        <v>5</v>
      </c>
      <c r="S1" s="411">
        <f t="shared" si="0"/>
        <v>6</v>
      </c>
      <c r="T1" s="411">
        <f t="shared" si="0"/>
        <v>7</v>
      </c>
      <c r="U1" s="411">
        <f t="shared" si="0"/>
        <v>8</v>
      </c>
      <c r="V1" s="411">
        <f t="shared" si="0"/>
        <v>9</v>
      </c>
      <c r="W1" s="411">
        <f t="shared" si="0"/>
        <v>10</v>
      </c>
      <c r="X1" s="411">
        <f t="shared" si="0"/>
        <v>11</v>
      </c>
      <c r="Y1" s="411">
        <f t="shared" si="0"/>
        <v>12</v>
      </c>
      <c r="Z1" s="411">
        <f t="shared" si="0"/>
        <v>1</v>
      </c>
      <c r="AA1" s="411">
        <f t="shared" si="0"/>
        <v>2</v>
      </c>
      <c r="AB1" s="411">
        <f t="shared" si="0"/>
        <v>3</v>
      </c>
      <c r="AC1" s="411">
        <f t="shared" si="0"/>
        <v>4</v>
      </c>
      <c r="AD1" s="411">
        <f t="shared" si="0"/>
        <v>5</v>
      </c>
      <c r="AE1" s="411">
        <f t="shared" si="0"/>
        <v>6</v>
      </c>
      <c r="AF1" s="411">
        <f t="shared" si="0"/>
        <v>7</v>
      </c>
      <c r="AG1" s="411">
        <f t="shared" si="0"/>
        <v>8</v>
      </c>
      <c r="AH1" s="411">
        <f t="shared" si="0"/>
        <v>9</v>
      </c>
      <c r="AI1" s="411">
        <f t="shared" si="0"/>
        <v>10</v>
      </c>
      <c r="AJ1" s="411">
        <f t="shared" si="0"/>
        <v>11</v>
      </c>
      <c r="AK1" s="411">
        <f t="shared" si="0"/>
        <v>12</v>
      </c>
      <c r="AL1" s="411">
        <f t="shared" si="0"/>
        <v>1</v>
      </c>
      <c r="AM1" s="411">
        <f t="shared" si="0"/>
        <v>2</v>
      </c>
      <c r="AN1" s="411">
        <f t="shared" si="0"/>
        <v>3</v>
      </c>
      <c r="AO1" s="411">
        <f t="shared" si="0"/>
        <v>4</v>
      </c>
      <c r="AP1" s="411">
        <f t="shared" si="0"/>
        <v>5</v>
      </c>
      <c r="AQ1" s="411">
        <f t="shared" si="0"/>
        <v>6</v>
      </c>
      <c r="AR1" s="411">
        <f t="shared" si="0"/>
        <v>7</v>
      </c>
      <c r="AS1" s="411">
        <f t="shared" si="0"/>
        <v>8</v>
      </c>
      <c r="AT1" s="411">
        <f t="shared" si="0"/>
        <v>9</v>
      </c>
      <c r="AU1" s="411">
        <f t="shared" si="0"/>
        <v>10</v>
      </c>
      <c r="AV1" s="411">
        <f t="shared" si="0"/>
        <v>11</v>
      </c>
      <c r="AW1" s="411">
        <f t="shared" si="0"/>
        <v>12</v>
      </c>
      <c r="AX1" s="411">
        <f t="shared" si="0"/>
        <v>1</v>
      </c>
      <c r="AY1" s="411">
        <f t="shared" si="0"/>
        <v>2</v>
      </c>
      <c r="AZ1" s="411">
        <f t="shared" si="0"/>
        <v>3</v>
      </c>
      <c r="BA1" s="411">
        <f t="shared" si="0"/>
        <v>4</v>
      </c>
      <c r="BB1" s="411">
        <f t="shared" si="0"/>
        <v>5</v>
      </c>
      <c r="BC1" s="411">
        <f t="shared" si="0"/>
        <v>6</v>
      </c>
      <c r="BD1" s="411">
        <f t="shared" si="0"/>
        <v>7</v>
      </c>
      <c r="BE1" s="411">
        <f t="shared" si="0"/>
        <v>8</v>
      </c>
      <c r="BF1" s="411">
        <f t="shared" si="0"/>
        <v>9</v>
      </c>
      <c r="BG1" s="411">
        <f t="shared" si="0"/>
        <v>10</v>
      </c>
      <c r="BH1" s="411">
        <f t="shared" si="0"/>
        <v>11</v>
      </c>
      <c r="BI1" s="411">
        <f t="shared" si="0"/>
        <v>12</v>
      </c>
      <c r="BJ1" s="411">
        <f t="shared" si="0"/>
        <v>1</v>
      </c>
      <c r="BK1" s="411">
        <f t="shared" si="0"/>
        <v>2</v>
      </c>
      <c r="BL1" s="411">
        <f t="shared" si="0"/>
        <v>3</v>
      </c>
      <c r="BM1" s="411">
        <f t="shared" si="0"/>
        <v>4</v>
      </c>
      <c r="BN1" s="411">
        <f t="shared" si="0"/>
        <v>5</v>
      </c>
      <c r="BO1" s="411">
        <f t="shared" ref="BO1:DZ1" si="1">MONTH(BO7)</f>
        <v>6</v>
      </c>
      <c r="BP1" s="411">
        <f t="shared" si="1"/>
        <v>7</v>
      </c>
      <c r="BQ1" s="411">
        <f t="shared" si="1"/>
        <v>8</v>
      </c>
      <c r="BR1" s="411">
        <f t="shared" si="1"/>
        <v>9</v>
      </c>
      <c r="BS1" s="411">
        <f t="shared" si="1"/>
        <v>10</v>
      </c>
      <c r="BT1" s="411">
        <f t="shared" si="1"/>
        <v>11</v>
      </c>
      <c r="BU1" s="411">
        <f t="shared" si="1"/>
        <v>12</v>
      </c>
      <c r="BV1" s="411">
        <f t="shared" si="1"/>
        <v>1</v>
      </c>
      <c r="BW1" s="411">
        <f t="shared" si="1"/>
        <v>2</v>
      </c>
      <c r="BX1" s="411">
        <f t="shared" si="1"/>
        <v>3</v>
      </c>
      <c r="BY1" s="411">
        <f t="shared" si="1"/>
        <v>4</v>
      </c>
      <c r="BZ1" s="411">
        <f t="shared" si="1"/>
        <v>5</v>
      </c>
      <c r="CA1" s="411">
        <f t="shared" si="1"/>
        <v>6</v>
      </c>
      <c r="CB1" s="411">
        <f t="shared" si="1"/>
        <v>7</v>
      </c>
      <c r="CC1" s="411">
        <f t="shared" si="1"/>
        <v>8</v>
      </c>
      <c r="CD1" s="411">
        <f t="shared" si="1"/>
        <v>9</v>
      </c>
      <c r="CE1" s="411">
        <f t="shared" si="1"/>
        <v>10</v>
      </c>
      <c r="CF1" s="411">
        <f t="shared" si="1"/>
        <v>11</v>
      </c>
      <c r="CG1" s="411">
        <f t="shared" si="1"/>
        <v>12</v>
      </c>
      <c r="CH1" s="411">
        <f t="shared" si="1"/>
        <v>1</v>
      </c>
      <c r="CI1" s="411">
        <f t="shared" si="1"/>
        <v>2</v>
      </c>
      <c r="CJ1" s="411">
        <f t="shared" si="1"/>
        <v>3</v>
      </c>
      <c r="CK1" s="411">
        <f t="shared" si="1"/>
        <v>4</v>
      </c>
      <c r="CL1" s="411">
        <f t="shared" si="1"/>
        <v>5</v>
      </c>
      <c r="CM1" s="411">
        <f t="shared" si="1"/>
        <v>6</v>
      </c>
      <c r="CN1" s="411">
        <f t="shared" si="1"/>
        <v>7</v>
      </c>
      <c r="CO1" s="411">
        <f t="shared" si="1"/>
        <v>8</v>
      </c>
      <c r="CP1" s="411">
        <f t="shared" si="1"/>
        <v>9</v>
      </c>
      <c r="CQ1" s="411">
        <f t="shared" si="1"/>
        <v>10</v>
      </c>
      <c r="CR1" s="411">
        <f t="shared" si="1"/>
        <v>11</v>
      </c>
      <c r="CS1" s="411">
        <f t="shared" si="1"/>
        <v>12</v>
      </c>
      <c r="CT1" s="411">
        <f t="shared" si="1"/>
        <v>1</v>
      </c>
      <c r="CU1" s="411">
        <f t="shared" si="1"/>
        <v>2</v>
      </c>
      <c r="CV1" s="411">
        <f t="shared" si="1"/>
        <v>3</v>
      </c>
      <c r="CW1" s="411">
        <f t="shared" si="1"/>
        <v>4</v>
      </c>
      <c r="CX1" s="411">
        <f t="shared" si="1"/>
        <v>5</v>
      </c>
      <c r="CY1" s="411">
        <f t="shared" si="1"/>
        <v>6</v>
      </c>
      <c r="CZ1" s="411">
        <f t="shared" si="1"/>
        <v>7</v>
      </c>
      <c r="DA1" s="411">
        <f t="shared" si="1"/>
        <v>8</v>
      </c>
      <c r="DB1" s="411">
        <f t="shared" si="1"/>
        <v>9</v>
      </c>
      <c r="DC1" s="411">
        <f t="shared" si="1"/>
        <v>10</v>
      </c>
      <c r="DD1" s="411">
        <f t="shared" si="1"/>
        <v>11</v>
      </c>
      <c r="DE1" s="411">
        <f t="shared" si="1"/>
        <v>12</v>
      </c>
      <c r="DF1" s="411">
        <f t="shared" si="1"/>
        <v>1</v>
      </c>
      <c r="DG1" s="411">
        <f t="shared" si="1"/>
        <v>2</v>
      </c>
      <c r="DH1" s="411">
        <f t="shared" si="1"/>
        <v>3</v>
      </c>
      <c r="DI1" s="411">
        <f t="shared" si="1"/>
        <v>4</v>
      </c>
      <c r="DJ1" s="411">
        <f t="shared" si="1"/>
        <v>5</v>
      </c>
      <c r="DK1" s="411">
        <f t="shared" si="1"/>
        <v>6</v>
      </c>
      <c r="DL1" s="411">
        <f t="shared" si="1"/>
        <v>7</v>
      </c>
      <c r="DM1" s="411">
        <f t="shared" si="1"/>
        <v>8</v>
      </c>
      <c r="DN1" s="411">
        <f t="shared" si="1"/>
        <v>9</v>
      </c>
      <c r="DO1" s="411">
        <f t="shared" si="1"/>
        <v>10</v>
      </c>
      <c r="DP1" s="411">
        <f t="shared" si="1"/>
        <v>11</v>
      </c>
      <c r="DQ1" s="411">
        <f t="shared" si="1"/>
        <v>12</v>
      </c>
      <c r="DR1" s="411">
        <f t="shared" si="1"/>
        <v>1</v>
      </c>
      <c r="DS1" s="411">
        <f t="shared" si="1"/>
        <v>2</v>
      </c>
      <c r="DT1" s="411">
        <f t="shared" si="1"/>
        <v>3</v>
      </c>
      <c r="DU1" s="411">
        <f t="shared" si="1"/>
        <v>4</v>
      </c>
      <c r="DV1" s="411">
        <f t="shared" si="1"/>
        <v>5</v>
      </c>
      <c r="DW1" s="411">
        <f t="shared" si="1"/>
        <v>6</v>
      </c>
      <c r="DX1" s="411">
        <f t="shared" si="1"/>
        <v>7</v>
      </c>
      <c r="DY1" s="411">
        <f t="shared" si="1"/>
        <v>8</v>
      </c>
      <c r="DZ1" s="411">
        <f t="shared" si="1"/>
        <v>9</v>
      </c>
      <c r="EA1" s="411">
        <f t="shared" ref="EA1:GL1" si="2">MONTH(EA7)</f>
        <v>10</v>
      </c>
      <c r="EB1" s="411">
        <f t="shared" si="2"/>
        <v>11</v>
      </c>
      <c r="EC1" s="411">
        <f t="shared" si="2"/>
        <v>12</v>
      </c>
      <c r="ED1" s="411">
        <f t="shared" si="2"/>
        <v>1</v>
      </c>
      <c r="EE1" s="411">
        <f t="shared" si="2"/>
        <v>2</v>
      </c>
      <c r="EF1" s="411">
        <f t="shared" si="2"/>
        <v>3</v>
      </c>
      <c r="EG1" s="411">
        <f t="shared" si="2"/>
        <v>4</v>
      </c>
      <c r="EH1" s="411">
        <f t="shared" si="2"/>
        <v>5</v>
      </c>
      <c r="EI1" s="411">
        <f t="shared" si="2"/>
        <v>6</v>
      </c>
      <c r="EJ1" s="411">
        <f t="shared" si="2"/>
        <v>7</v>
      </c>
      <c r="EK1" s="411">
        <f t="shared" si="2"/>
        <v>8</v>
      </c>
      <c r="EL1" s="411">
        <f t="shared" si="2"/>
        <v>9</v>
      </c>
      <c r="EM1" s="411">
        <f t="shared" si="2"/>
        <v>10</v>
      </c>
      <c r="EN1" s="411">
        <f t="shared" si="2"/>
        <v>11</v>
      </c>
      <c r="EO1" s="411">
        <f t="shared" si="2"/>
        <v>12</v>
      </c>
      <c r="EP1" s="411">
        <f t="shared" si="2"/>
        <v>1</v>
      </c>
      <c r="EQ1" s="411">
        <f t="shared" si="2"/>
        <v>2</v>
      </c>
      <c r="ER1" s="411">
        <f t="shared" si="2"/>
        <v>3</v>
      </c>
      <c r="ES1" s="411">
        <f t="shared" si="2"/>
        <v>1</v>
      </c>
      <c r="ET1" s="411">
        <f t="shared" si="2"/>
        <v>1</v>
      </c>
      <c r="EU1" s="411">
        <f t="shared" si="2"/>
        <v>1</v>
      </c>
      <c r="EV1" s="411">
        <f t="shared" si="2"/>
        <v>1</v>
      </c>
      <c r="EW1" s="411">
        <f t="shared" si="2"/>
        <v>1</v>
      </c>
      <c r="EX1" s="411">
        <f t="shared" si="2"/>
        <v>1</v>
      </c>
      <c r="EY1" s="411">
        <f t="shared" si="2"/>
        <v>1</v>
      </c>
      <c r="EZ1" s="411">
        <f t="shared" si="2"/>
        <v>1</v>
      </c>
      <c r="FA1" s="411">
        <f t="shared" si="2"/>
        <v>1</v>
      </c>
      <c r="FB1" s="411">
        <f t="shared" si="2"/>
        <v>1</v>
      </c>
      <c r="FC1" s="411">
        <f t="shared" si="2"/>
        <v>1</v>
      </c>
      <c r="FD1" s="411">
        <f t="shared" si="2"/>
        <v>1</v>
      </c>
      <c r="FE1" s="411">
        <f t="shared" si="2"/>
        <v>1</v>
      </c>
      <c r="FF1" s="411">
        <f t="shared" si="2"/>
        <v>1</v>
      </c>
      <c r="FG1" s="411">
        <f t="shared" si="2"/>
        <v>1</v>
      </c>
      <c r="FH1" s="411">
        <f t="shared" si="2"/>
        <v>1</v>
      </c>
      <c r="FI1" s="411">
        <f t="shared" si="2"/>
        <v>1</v>
      </c>
      <c r="FJ1" s="411">
        <f t="shared" si="2"/>
        <v>1</v>
      </c>
      <c r="FK1" s="411">
        <f t="shared" si="2"/>
        <v>1</v>
      </c>
      <c r="FL1" s="411">
        <f t="shared" si="2"/>
        <v>1</v>
      </c>
      <c r="FM1" s="411">
        <f t="shared" si="2"/>
        <v>1</v>
      </c>
      <c r="FN1" s="411">
        <f t="shared" si="2"/>
        <v>1</v>
      </c>
      <c r="FO1" s="411">
        <f t="shared" si="2"/>
        <v>1</v>
      </c>
      <c r="FP1" s="411">
        <f t="shared" si="2"/>
        <v>1</v>
      </c>
      <c r="FQ1" s="411">
        <f t="shared" si="2"/>
        <v>1</v>
      </c>
      <c r="FR1" s="411">
        <f t="shared" si="2"/>
        <v>1</v>
      </c>
      <c r="FS1" s="411">
        <f t="shared" si="2"/>
        <v>1</v>
      </c>
      <c r="FT1" s="411">
        <f t="shared" si="2"/>
        <v>1</v>
      </c>
      <c r="FU1" s="411">
        <f t="shared" si="2"/>
        <v>1</v>
      </c>
      <c r="FV1" s="411">
        <f t="shared" si="2"/>
        <v>1</v>
      </c>
      <c r="FW1" s="411">
        <f t="shared" si="2"/>
        <v>1</v>
      </c>
      <c r="FX1" s="411">
        <f t="shared" si="2"/>
        <v>1</v>
      </c>
      <c r="FY1" s="411">
        <f t="shared" si="2"/>
        <v>1</v>
      </c>
      <c r="FZ1" s="411">
        <f t="shared" si="2"/>
        <v>1</v>
      </c>
      <c r="GA1" s="411">
        <f t="shared" si="2"/>
        <v>1</v>
      </c>
      <c r="GB1" s="411">
        <f t="shared" si="2"/>
        <v>1</v>
      </c>
      <c r="GC1" s="411">
        <f t="shared" si="2"/>
        <v>1</v>
      </c>
      <c r="GD1" s="411">
        <f t="shared" si="2"/>
        <v>1</v>
      </c>
      <c r="GE1" s="411">
        <f t="shared" si="2"/>
        <v>1</v>
      </c>
      <c r="GF1" s="411">
        <f t="shared" si="2"/>
        <v>1</v>
      </c>
      <c r="GG1" s="411">
        <f t="shared" si="2"/>
        <v>1</v>
      </c>
      <c r="GH1" s="411">
        <f t="shared" si="2"/>
        <v>1</v>
      </c>
      <c r="GI1" s="411">
        <f t="shared" si="2"/>
        <v>1</v>
      </c>
      <c r="GJ1" s="411">
        <f t="shared" si="2"/>
        <v>1</v>
      </c>
      <c r="GK1" s="411">
        <f t="shared" si="2"/>
        <v>1</v>
      </c>
      <c r="GL1" s="411">
        <f t="shared" si="2"/>
        <v>1</v>
      </c>
      <c r="GM1" s="411">
        <f t="shared" ref="GM1:IX1" si="3">MONTH(GM7)</f>
        <v>1</v>
      </c>
      <c r="GN1" s="411">
        <f t="shared" si="3"/>
        <v>1</v>
      </c>
      <c r="GO1" s="411">
        <f t="shared" si="3"/>
        <v>1</v>
      </c>
      <c r="GP1" s="411">
        <f t="shared" si="3"/>
        <v>1</v>
      </c>
      <c r="GQ1" s="411">
        <f t="shared" si="3"/>
        <v>1</v>
      </c>
      <c r="GR1" s="411">
        <f t="shared" si="3"/>
        <v>1</v>
      </c>
      <c r="GS1" s="411">
        <f t="shared" si="3"/>
        <v>1</v>
      </c>
      <c r="GT1" s="411">
        <f t="shared" si="3"/>
        <v>1</v>
      </c>
      <c r="GU1" s="411">
        <f t="shared" si="3"/>
        <v>1</v>
      </c>
      <c r="GV1" s="411">
        <f t="shared" si="3"/>
        <v>1</v>
      </c>
      <c r="GW1" s="411">
        <f t="shared" si="3"/>
        <v>1</v>
      </c>
      <c r="GX1" s="411">
        <f t="shared" si="3"/>
        <v>1</v>
      </c>
      <c r="GY1" s="411">
        <f t="shared" si="3"/>
        <v>1</v>
      </c>
      <c r="GZ1" s="411">
        <f t="shared" si="3"/>
        <v>1</v>
      </c>
      <c r="HA1" s="411">
        <f t="shared" si="3"/>
        <v>1</v>
      </c>
      <c r="HB1" s="411">
        <f t="shared" si="3"/>
        <v>1</v>
      </c>
      <c r="HC1" s="411">
        <f t="shared" si="3"/>
        <v>1</v>
      </c>
      <c r="HD1" s="411">
        <f t="shared" si="3"/>
        <v>1</v>
      </c>
      <c r="HE1" s="411">
        <f t="shared" si="3"/>
        <v>1</v>
      </c>
      <c r="HF1" s="411">
        <f t="shared" si="3"/>
        <v>1</v>
      </c>
      <c r="HG1" s="411">
        <f t="shared" si="3"/>
        <v>1</v>
      </c>
      <c r="HH1" s="411">
        <f t="shared" si="3"/>
        <v>1</v>
      </c>
      <c r="HI1" s="411">
        <f t="shared" si="3"/>
        <v>1</v>
      </c>
      <c r="HJ1" s="411">
        <f t="shared" si="3"/>
        <v>1</v>
      </c>
      <c r="HK1" s="411">
        <f t="shared" si="3"/>
        <v>1</v>
      </c>
      <c r="HL1" s="411">
        <f t="shared" si="3"/>
        <v>1</v>
      </c>
      <c r="HM1" s="411">
        <f t="shared" si="3"/>
        <v>1</v>
      </c>
      <c r="HN1" s="411">
        <f t="shared" si="3"/>
        <v>1</v>
      </c>
      <c r="HO1" s="411">
        <f t="shared" si="3"/>
        <v>1</v>
      </c>
      <c r="HP1" s="411">
        <f t="shared" si="3"/>
        <v>1</v>
      </c>
      <c r="HQ1" s="411">
        <f t="shared" si="3"/>
        <v>1</v>
      </c>
      <c r="HR1" s="411">
        <f t="shared" si="3"/>
        <v>1</v>
      </c>
      <c r="HS1" s="411">
        <f t="shared" si="3"/>
        <v>1</v>
      </c>
      <c r="HT1" s="411">
        <f t="shared" si="3"/>
        <v>1</v>
      </c>
      <c r="HU1" s="411">
        <f t="shared" si="3"/>
        <v>1</v>
      </c>
      <c r="HV1" s="411">
        <f t="shared" si="3"/>
        <v>1</v>
      </c>
      <c r="HW1" s="411">
        <f t="shared" si="3"/>
        <v>1</v>
      </c>
      <c r="HX1" s="411">
        <f t="shared" si="3"/>
        <v>1</v>
      </c>
      <c r="HY1" s="411">
        <f t="shared" si="3"/>
        <v>1</v>
      </c>
      <c r="HZ1" s="411">
        <f t="shared" si="3"/>
        <v>1</v>
      </c>
      <c r="IA1" s="411">
        <f t="shared" si="3"/>
        <v>1</v>
      </c>
      <c r="IB1" s="411">
        <f t="shared" si="3"/>
        <v>1</v>
      </c>
      <c r="IC1" s="411">
        <f t="shared" si="3"/>
        <v>1</v>
      </c>
      <c r="ID1" s="411">
        <f t="shared" si="3"/>
        <v>1</v>
      </c>
      <c r="IE1" s="411">
        <f t="shared" si="3"/>
        <v>1</v>
      </c>
      <c r="IF1" s="411">
        <f t="shared" si="3"/>
        <v>1</v>
      </c>
      <c r="IG1" s="411">
        <f t="shared" si="3"/>
        <v>1</v>
      </c>
      <c r="IH1" s="411">
        <f t="shared" si="3"/>
        <v>1</v>
      </c>
      <c r="II1" s="411">
        <f t="shared" si="3"/>
        <v>1</v>
      </c>
      <c r="IJ1" s="411">
        <f t="shared" si="3"/>
        <v>1</v>
      </c>
      <c r="IK1" s="411">
        <f t="shared" si="3"/>
        <v>1</v>
      </c>
      <c r="IL1" s="411">
        <f t="shared" si="3"/>
        <v>1</v>
      </c>
      <c r="IM1" s="411">
        <f t="shared" si="3"/>
        <v>1</v>
      </c>
      <c r="IN1" s="411">
        <f t="shared" si="3"/>
        <v>1</v>
      </c>
      <c r="IO1" s="411">
        <f t="shared" si="3"/>
        <v>1</v>
      </c>
      <c r="IP1" s="411">
        <f t="shared" si="3"/>
        <v>1</v>
      </c>
      <c r="IQ1" s="411">
        <f t="shared" si="3"/>
        <v>1</v>
      </c>
      <c r="IR1" s="411">
        <f t="shared" si="3"/>
        <v>1</v>
      </c>
      <c r="IS1" s="411">
        <f t="shared" si="3"/>
        <v>1</v>
      </c>
      <c r="IT1" s="411">
        <f t="shared" si="3"/>
        <v>1</v>
      </c>
      <c r="IU1" s="411">
        <f t="shared" si="3"/>
        <v>1</v>
      </c>
      <c r="IV1" s="411">
        <f t="shared" si="3"/>
        <v>1</v>
      </c>
      <c r="IW1" s="411">
        <f t="shared" si="3"/>
        <v>1</v>
      </c>
      <c r="IX1" s="411">
        <f t="shared" si="3"/>
        <v>1</v>
      </c>
      <c r="IY1" s="411">
        <f t="shared" ref="IY1:JD1" si="4">MONTH(IY7)</f>
        <v>1</v>
      </c>
      <c r="IZ1" s="411">
        <f t="shared" si="4"/>
        <v>1</v>
      </c>
      <c r="JA1" s="411">
        <f t="shared" si="4"/>
        <v>1</v>
      </c>
      <c r="JB1" s="411">
        <f t="shared" si="4"/>
        <v>1</v>
      </c>
      <c r="JC1" s="411">
        <f t="shared" si="4"/>
        <v>1</v>
      </c>
      <c r="JD1" s="411">
        <f t="shared" si="4"/>
        <v>1</v>
      </c>
    </row>
    <row r="2" spans="1:264" s="411" customFormat="1" ht="15.75" customHeight="1" x14ac:dyDescent="0.2">
      <c r="A2" s="411" t="s">
        <v>191</v>
      </c>
      <c r="B2" s="411">
        <f>YEAR(B7)</f>
        <v>2010</v>
      </c>
      <c r="C2" s="411">
        <f t="shared" ref="C2:BN2" si="5">YEAR(C7)</f>
        <v>2010</v>
      </c>
      <c r="D2" s="411">
        <f t="shared" si="5"/>
        <v>2010</v>
      </c>
      <c r="E2" s="411">
        <f t="shared" si="5"/>
        <v>2010</v>
      </c>
      <c r="F2" s="411">
        <f t="shared" si="5"/>
        <v>2010</v>
      </c>
      <c r="G2" s="411">
        <f t="shared" si="5"/>
        <v>2010</v>
      </c>
      <c r="H2" s="411">
        <f t="shared" si="5"/>
        <v>2010</v>
      </c>
      <c r="I2" s="411">
        <f t="shared" si="5"/>
        <v>2010</v>
      </c>
      <c r="J2" s="411">
        <f t="shared" si="5"/>
        <v>2010</v>
      </c>
      <c r="K2" s="411">
        <f t="shared" si="5"/>
        <v>2010</v>
      </c>
      <c r="L2" s="411">
        <f t="shared" si="5"/>
        <v>2010</v>
      </c>
      <c r="M2" s="411">
        <f t="shared" si="5"/>
        <v>2010</v>
      </c>
      <c r="N2" s="411">
        <f t="shared" si="5"/>
        <v>2011</v>
      </c>
      <c r="O2" s="411">
        <f t="shared" si="5"/>
        <v>2011</v>
      </c>
      <c r="P2" s="411">
        <f t="shared" si="5"/>
        <v>2011</v>
      </c>
      <c r="Q2" s="411">
        <f t="shared" si="5"/>
        <v>2011</v>
      </c>
      <c r="R2" s="411">
        <f t="shared" si="5"/>
        <v>2011</v>
      </c>
      <c r="S2" s="411">
        <f t="shared" si="5"/>
        <v>2011</v>
      </c>
      <c r="T2" s="411">
        <f t="shared" si="5"/>
        <v>2011</v>
      </c>
      <c r="U2" s="411">
        <f t="shared" si="5"/>
        <v>2011</v>
      </c>
      <c r="V2" s="411">
        <f t="shared" si="5"/>
        <v>2011</v>
      </c>
      <c r="W2" s="411">
        <f t="shared" si="5"/>
        <v>2011</v>
      </c>
      <c r="X2" s="411">
        <f t="shared" si="5"/>
        <v>2011</v>
      </c>
      <c r="Y2" s="411">
        <f t="shared" si="5"/>
        <v>2011</v>
      </c>
      <c r="Z2" s="411">
        <f t="shared" si="5"/>
        <v>2012</v>
      </c>
      <c r="AA2" s="411">
        <f t="shared" si="5"/>
        <v>2012</v>
      </c>
      <c r="AB2" s="411">
        <f t="shared" si="5"/>
        <v>2012</v>
      </c>
      <c r="AC2" s="411">
        <f t="shared" si="5"/>
        <v>2012</v>
      </c>
      <c r="AD2" s="411">
        <f t="shared" si="5"/>
        <v>2012</v>
      </c>
      <c r="AE2" s="411">
        <f t="shared" si="5"/>
        <v>2012</v>
      </c>
      <c r="AF2" s="411">
        <f t="shared" si="5"/>
        <v>2012</v>
      </c>
      <c r="AG2" s="411">
        <f t="shared" si="5"/>
        <v>2012</v>
      </c>
      <c r="AH2" s="411">
        <f t="shared" si="5"/>
        <v>2012</v>
      </c>
      <c r="AI2" s="411">
        <f t="shared" si="5"/>
        <v>2012</v>
      </c>
      <c r="AJ2" s="411">
        <f t="shared" si="5"/>
        <v>2012</v>
      </c>
      <c r="AK2" s="411">
        <f t="shared" si="5"/>
        <v>2012</v>
      </c>
      <c r="AL2" s="411">
        <f t="shared" si="5"/>
        <v>2013</v>
      </c>
      <c r="AM2" s="411">
        <f t="shared" si="5"/>
        <v>2013</v>
      </c>
      <c r="AN2" s="411">
        <f t="shared" si="5"/>
        <v>2013</v>
      </c>
      <c r="AO2" s="411">
        <f t="shared" si="5"/>
        <v>2013</v>
      </c>
      <c r="AP2" s="411">
        <f t="shared" si="5"/>
        <v>2013</v>
      </c>
      <c r="AQ2" s="411">
        <f t="shared" si="5"/>
        <v>2013</v>
      </c>
      <c r="AR2" s="411">
        <f t="shared" si="5"/>
        <v>2013</v>
      </c>
      <c r="AS2" s="411">
        <f t="shared" si="5"/>
        <v>2013</v>
      </c>
      <c r="AT2" s="411">
        <f t="shared" si="5"/>
        <v>2013</v>
      </c>
      <c r="AU2" s="411">
        <f t="shared" si="5"/>
        <v>2013</v>
      </c>
      <c r="AV2" s="411">
        <f t="shared" si="5"/>
        <v>2013</v>
      </c>
      <c r="AW2" s="411">
        <f t="shared" si="5"/>
        <v>2013</v>
      </c>
      <c r="AX2" s="411">
        <f t="shared" si="5"/>
        <v>2014</v>
      </c>
      <c r="AY2" s="411">
        <f t="shared" si="5"/>
        <v>2014</v>
      </c>
      <c r="AZ2" s="411">
        <f t="shared" si="5"/>
        <v>2014</v>
      </c>
      <c r="BA2" s="411">
        <f t="shared" si="5"/>
        <v>2014</v>
      </c>
      <c r="BB2" s="411">
        <f t="shared" si="5"/>
        <v>2014</v>
      </c>
      <c r="BC2" s="411">
        <f t="shared" si="5"/>
        <v>2014</v>
      </c>
      <c r="BD2" s="411">
        <f t="shared" si="5"/>
        <v>2014</v>
      </c>
      <c r="BE2" s="411">
        <f t="shared" si="5"/>
        <v>2014</v>
      </c>
      <c r="BF2" s="411">
        <f t="shared" si="5"/>
        <v>2014</v>
      </c>
      <c r="BG2" s="411">
        <f t="shared" si="5"/>
        <v>2014</v>
      </c>
      <c r="BH2" s="411">
        <f t="shared" si="5"/>
        <v>2014</v>
      </c>
      <c r="BI2" s="411">
        <f t="shared" si="5"/>
        <v>2014</v>
      </c>
      <c r="BJ2" s="411">
        <f t="shared" si="5"/>
        <v>2015</v>
      </c>
      <c r="BK2" s="411">
        <f t="shared" si="5"/>
        <v>2015</v>
      </c>
      <c r="BL2" s="411">
        <f t="shared" si="5"/>
        <v>2015</v>
      </c>
      <c r="BM2" s="411">
        <f t="shared" si="5"/>
        <v>2015</v>
      </c>
      <c r="BN2" s="411">
        <f t="shared" si="5"/>
        <v>2015</v>
      </c>
      <c r="BO2" s="411">
        <f t="shared" ref="BO2:DZ2" si="6">YEAR(BO7)</f>
        <v>2015</v>
      </c>
      <c r="BP2" s="411">
        <f t="shared" si="6"/>
        <v>2015</v>
      </c>
      <c r="BQ2" s="411">
        <f t="shared" si="6"/>
        <v>2015</v>
      </c>
      <c r="BR2" s="411">
        <f t="shared" si="6"/>
        <v>2015</v>
      </c>
      <c r="BS2" s="411">
        <f t="shared" si="6"/>
        <v>2015</v>
      </c>
      <c r="BT2" s="411">
        <f t="shared" si="6"/>
        <v>2015</v>
      </c>
      <c r="BU2" s="411">
        <f t="shared" si="6"/>
        <v>2015</v>
      </c>
      <c r="BV2" s="411">
        <f t="shared" si="6"/>
        <v>2016</v>
      </c>
      <c r="BW2" s="411">
        <f t="shared" si="6"/>
        <v>2016</v>
      </c>
      <c r="BX2" s="411">
        <f t="shared" si="6"/>
        <v>2016</v>
      </c>
      <c r="BY2" s="411">
        <f t="shared" si="6"/>
        <v>2016</v>
      </c>
      <c r="BZ2" s="411">
        <f t="shared" si="6"/>
        <v>2016</v>
      </c>
      <c r="CA2" s="411">
        <f t="shared" si="6"/>
        <v>2016</v>
      </c>
      <c r="CB2" s="411">
        <f t="shared" si="6"/>
        <v>2016</v>
      </c>
      <c r="CC2" s="411">
        <f t="shared" si="6"/>
        <v>2016</v>
      </c>
      <c r="CD2" s="411">
        <f t="shared" si="6"/>
        <v>2016</v>
      </c>
      <c r="CE2" s="411">
        <f t="shared" si="6"/>
        <v>2016</v>
      </c>
      <c r="CF2" s="411">
        <f t="shared" si="6"/>
        <v>2016</v>
      </c>
      <c r="CG2" s="411">
        <f t="shared" si="6"/>
        <v>2016</v>
      </c>
      <c r="CH2" s="411">
        <f t="shared" si="6"/>
        <v>2017</v>
      </c>
      <c r="CI2" s="411">
        <f t="shared" si="6"/>
        <v>2017</v>
      </c>
      <c r="CJ2" s="411">
        <f t="shared" si="6"/>
        <v>2017</v>
      </c>
      <c r="CK2" s="411">
        <f t="shared" si="6"/>
        <v>2017</v>
      </c>
      <c r="CL2" s="411">
        <f t="shared" si="6"/>
        <v>2017</v>
      </c>
      <c r="CM2" s="411">
        <f t="shared" si="6"/>
        <v>2017</v>
      </c>
      <c r="CN2" s="411">
        <f t="shared" si="6"/>
        <v>2017</v>
      </c>
      <c r="CO2" s="411">
        <f t="shared" si="6"/>
        <v>2017</v>
      </c>
      <c r="CP2" s="411">
        <f t="shared" si="6"/>
        <v>2017</v>
      </c>
      <c r="CQ2" s="411">
        <f t="shared" si="6"/>
        <v>2017</v>
      </c>
      <c r="CR2" s="411">
        <f t="shared" si="6"/>
        <v>2017</v>
      </c>
      <c r="CS2" s="411">
        <f t="shared" si="6"/>
        <v>2017</v>
      </c>
      <c r="CT2" s="411">
        <f t="shared" si="6"/>
        <v>2018</v>
      </c>
      <c r="CU2" s="411">
        <f t="shared" si="6"/>
        <v>2018</v>
      </c>
      <c r="CV2" s="411">
        <f t="shared" si="6"/>
        <v>2018</v>
      </c>
      <c r="CW2" s="411">
        <f t="shared" si="6"/>
        <v>2018</v>
      </c>
      <c r="CX2" s="411">
        <f t="shared" si="6"/>
        <v>2018</v>
      </c>
      <c r="CY2" s="411">
        <f t="shared" si="6"/>
        <v>2018</v>
      </c>
      <c r="CZ2" s="411">
        <f t="shared" si="6"/>
        <v>2018</v>
      </c>
      <c r="DA2" s="411">
        <f t="shared" si="6"/>
        <v>2018</v>
      </c>
      <c r="DB2" s="411">
        <f t="shared" si="6"/>
        <v>2018</v>
      </c>
      <c r="DC2" s="411">
        <f t="shared" si="6"/>
        <v>2018</v>
      </c>
      <c r="DD2" s="411">
        <f t="shared" si="6"/>
        <v>2018</v>
      </c>
      <c r="DE2" s="411">
        <f t="shared" si="6"/>
        <v>2018</v>
      </c>
      <c r="DF2" s="411">
        <f t="shared" si="6"/>
        <v>2019</v>
      </c>
      <c r="DG2" s="411">
        <f t="shared" si="6"/>
        <v>2019</v>
      </c>
      <c r="DH2" s="411">
        <f t="shared" si="6"/>
        <v>2019</v>
      </c>
      <c r="DI2" s="411">
        <f t="shared" si="6"/>
        <v>2019</v>
      </c>
      <c r="DJ2" s="411">
        <f t="shared" si="6"/>
        <v>2019</v>
      </c>
      <c r="DK2" s="411">
        <f t="shared" si="6"/>
        <v>2019</v>
      </c>
      <c r="DL2" s="411">
        <f t="shared" si="6"/>
        <v>2019</v>
      </c>
      <c r="DM2" s="411">
        <f t="shared" si="6"/>
        <v>2019</v>
      </c>
      <c r="DN2" s="411">
        <f t="shared" si="6"/>
        <v>2019</v>
      </c>
      <c r="DO2" s="411">
        <f t="shared" si="6"/>
        <v>2019</v>
      </c>
      <c r="DP2" s="411">
        <f t="shared" si="6"/>
        <v>2019</v>
      </c>
      <c r="DQ2" s="411">
        <f t="shared" si="6"/>
        <v>2019</v>
      </c>
      <c r="DR2" s="411">
        <f t="shared" si="6"/>
        <v>2020</v>
      </c>
      <c r="DS2" s="411">
        <f t="shared" si="6"/>
        <v>2020</v>
      </c>
      <c r="DT2" s="411">
        <f t="shared" si="6"/>
        <v>2020</v>
      </c>
      <c r="DU2" s="411">
        <f t="shared" si="6"/>
        <v>2020</v>
      </c>
      <c r="DV2" s="411">
        <f t="shared" si="6"/>
        <v>2020</v>
      </c>
      <c r="DW2" s="411">
        <f t="shared" si="6"/>
        <v>2020</v>
      </c>
      <c r="DX2" s="411">
        <f t="shared" si="6"/>
        <v>2020</v>
      </c>
      <c r="DY2" s="411">
        <f t="shared" si="6"/>
        <v>2020</v>
      </c>
      <c r="DZ2" s="411">
        <f t="shared" si="6"/>
        <v>2020</v>
      </c>
      <c r="EA2" s="411">
        <f t="shared" ref="EA2:GL2" si="7">YEAR(EA7)</f>
        <v>2020</v>
      </c>
      <c r="EB2" s="411">
        <f t="shared" si="7"/>
        <v>2020</v>
      </c>
      <c r="EC2" s="411">
        <f t="shared" si="7"/>
        <v>2020</v>
      </c>
      <c r="ED2" s="411">
        <f t="shared" si="7"/>
        <v>2021</v>
      </c>
      <c r="EE2" s="411">
        <f t="shared" si="7"/>
        <v>2021</v>
      </c>
      <c r="EF2" s="411">
        <f t="shared" si="7"/>
        <v>2021</v>
      </c>
      <c r="EG2" s="411">
        <f t="shared" si="7"/>
        <v>2021</v>
      </c>
      <c r="EH2" s="411">
        <f t="shared" si="7"/>
        <v>2021</v>
      </c>
      <c r="EI2" s="411">
        <f t="shared" si="7"/>
        <v>2021</v>
      </c>
      <c r="EJ2" s="411">
        <f>YEAR(EJ7)</f>
        <v>2021</v>
      </c>
      <c r="EK2" s="411">
        <f t="shared" ref="EK2:EN2" si="8">YEAR(EK7)</f>
        <v>2021</v>
      </c>
      <c r="EL2" s="411">
        <f t="shared" si="8"/>
        <v>2021</v>
      </c>
      <c r="EM2" s="411">
        <f t="shared" si="8"/>
        <v>2021</v>
      </c>
      <c r="EN2" s="411">
        <f t="shared" si="8"/>
        <v>2021</v>
      </c>
      <c r="EO2" s="411">
        <f t="shared" si="7"/>
        <v>2021</v>
      </c>
      <c r="EP2" s="411">
        <f t="shared" si="7"/>
        <v>2022</v>
      </c>
      <c r="EQ2" s="411">
        <f t="shared" si="7"/>
        <v>2022</v>
      </c>
      <c r="ER2" s="411">
        <f t="shared" si="7"/>
        <v>2022</v>
      </c>
      <c r="ES2" s="411">
        <f t="shared" si="7"/>
        <v>1900</v>
      </c>
      <c r="ET2" s="411">
        <f t="shared" si="7"/>
        <v>1900</v>
      </c>
      <c r="EU2" s="411">
        <f t="shared" si="7"/>
        <v>1900</v>
      </c>
      <c r="EV2" s="411">
        <f t="shared" si="7"/>
        <v>1900</v>
      </c>
      <c r="EW2" s="411">
        <f t="shared" si="7"/>
        <v>1900</v>
      </c>
      <c r="EX2" s="411">
        <f t="shared" si="7"/>
        <v>1900</v>
      </c>
      <c r="EY2" s="411">
        <f t="shared" si="7"/>
        <v>1900</v>
      </c>
      <c r="EZ2" s="411">
        <f t="shared" si="7"/>
        <v>1900</v>
      </c>
      <c r="FA2" s="411">
        <f t="shared" si="7"/>
        <v>1900</v>
      </c>
      <c r="FB2" s="411">
        <f t="shared" si="7"/>
        <v>1900</v>
      </c>
      <c r="FC2" s="411">
        <f t="shared" si="7"/>
        <v>1900</v>
      </c>
      <c r="FD2" s="411">
        <f t="shared" si="7"/>
        <v>1900</v>
      </c>
      <c r="FE2" s="411">
        <f t="shared" si="7"/>
        <v>1900</v>
      </c>
      <c r="FF2" s="411">
        <f t="shared" si="7"/>
        <v>1900</v>
      </c>
      <c r="FG2" s="411">
        <f t="shared" si="7"/>
        <v>1900</v>
      </c>
      <c r="FH2" s="411">
        <f t="shared" si="7"/>
        <v>1900</v>
      </c>
      <c r="FI2" s="411">
        <f t="shared" si="7"/>
        <v>1900</v>
      </c>
      <c r="FJ2" s="411">
        <f t="shared" si="7"/>
        <v>1900</v>
      </c>
      <c r="FK2" s="411">
        <f t="shared" si="7"/>
        <v>1900</v>
      </c>
      <c r="FL2" s="411">
        <f t="shared" si="7"/>
        <v>1900</v>
      </c>
      <c r="FM2" s="411">
        <f t="shared" si="7"/>
        <v>1900</v>
      </c>
      <c r="FN2" s="411">
        <f t="shared" si="7"/>
        <v>1900</v>
      </c>
      <c r="FO2" s="411">
        <f t="shared" si="7"/>
        <v>1900</v>
      </c>
      <c r="FP2" s="411">
        <f t="shared" si="7"/>
        <v>1900</v>
      </c>
      <c r="FQ2" s="411">
        <f t="shared" si="7"/>
        <v>1900</v>
      </c>
      <c r="FR2" s="411">
        <f t="shared" si="7"/>
        <v>1900</v>
      </c>
      <c r="FS2" s="411">
        <f t="shared" si="7"/>
        <v>1900</v>
      </c>
      <c r="FT2" s="411">
        <f t="shared" si="7"/>
        <v>1900</v>
      </c>
      <c r="FU2" s="411">
        <f t="shared" si="7"/>
        <v>1900</v>
      </c>
      <c r="FV2" s="411">
        <f t="shared" si="7"/>
        <v>1900</v>
      </c>
      <c r="FW2" s="411">
        <f t="shared" si="7"/>
        <v>1900</v>
      </c>
      <c r="FX2" s="411">
        <f t="shared" si="7"/>
        <v>1900</v>
      </c>
      <c r="FY2" s="411">
        <f t="shared" si="7"/>
        <v>1900</v>
      </c>
      <c r="FZ2" s="411">
        <f t="shared" si="7"/>
        <v>1900</v>
      </c>
      <c r="GA2" s="411">
        <f t="shared" si="7"/>
        <v>1900</v>
      </c>
      <c r="GB2" s="411">
        <f t="shared" si="7"/>
        <v>1900</v>
      </c>
      <c r="GC2" s="411">
        <f t="shared" si="7"/>
        <v>1900</v>
      </c>
      <c r="GD2" s="411">
        <f t="shared" si="7"/>
        <v>1900</v>
      </c>
      <c r="GE2" s="411">
        <f t="shared" si="7"/>
        <v>1900</v>
      </c>
      <c r="GF2" s="411">
        <f t="shared" si="7"/>
        <v>1900</v>
      </c>
      <c r="GG2" s="411">
        <f t="shared" si="7"/>
        <v>1900</v>
      </c>
      <c r="GH2" s="411">
        <f t="shared" si="7"/>
        <v>1900</v>
      </c>
      <c r="GI2" s="411">
        <f t="shared" si="7"/>
        <v>1900</v>
      </c>
      <c r="GJ2" s="411">
        <f t="shared" si="7"/>
        <v>1900</v>
      </c>
      <c r="GK2" s="411">
        <f t="shared" si="7"/>
        <v>1900</v>
      </c>
      <c r="GL2" s="411">
        <f t="shared" si="7"/>
        <v>1900</v>
      </c>
      <c r="GM2" s="411">
        <f t="shared" ref="GM2:IX2" si="9">YEAR(GM7)</f>
        <v>1900</v>
      </c>
      <c r="GN2" s="411">
        <f t="shared" si="9"/>
        <v>1900</v>
      </c>
      <c r="GO2" s="411">
        <f t="shared" si="9"/>
        <v>1900</v>
      </c>
      <c r="GP2" s="411">
        <f t="shared" si="9"/>
        <v>1900</v>
      </c>
      <c r="GQ2" s="411">
        <f t="shared" si="9"/>
        <v>1900</v>
      </c>
      <c r="GR2" s="411">
        <f t="shared" si="9"/>
        <v>1900</v>
      </c>
      <c r="GS2" s="411">
        <f t="shared" si="9"/>
        <v>1900</v>
      </c>
      <c r="GT2" s="411">
        <f t="shared" si="9"/>
        <v>1900</v>
      </c>
      <c r="GU2" s="411">
        <f t="shared" si="9"/>
        <v>1900</v>
      </c>
      <c r="GV2" s="411">
        <f t="shared" si="9"/>
        <v>1900</v>
      </c>
      <c r="GW2" s="411">
        <f t="shared" si="9"/>
        <v>1900</v>
      </c>
      <c r="GX2" s="411">
        <f t="shared" si="9"/>
        <v>1900</v>
      </c>
      <c r="GY2" s="411">
        <f t="shared" si="9"/>
        <v>1900</v>
      </c>
      <c r="GZ2" s="411">
        <f t="shared" si="9"/>
        <v>1900</v>
      </c>
      <c r="HA2" s="411">
        <f t="shared" si="9"/>
        <v>1900</v>
      </c>
      <c r="HB2" s="411">
        <f t="shared" si="9"/>
        <v>1900</v>
      </c>
      <c r="HC2" s="411">
        <f t="shared" si="9"/>
        <v>1900</v>
      </c>
      <c r="HD2" s="411">
        <f t="shared" si="9"/>
        <v>1900</v>
      </c>
      <c r="HE2" s="411">
        <f t="shared" si="9"/>
        <v>1900</v>
      </c>
      <c r="HF2" s="411">
        <f t="shared" si="9"/>
        <v>1900</v>
      </c>
      <c r="HG2" s="411">
        <f t="shared" si="9"/>
        <v>1900</v>
      </c>
      <c r="HH2" s="411">
        <f t="shared" si="9"/>
        <v>1900</v>
      </c>
      <c r="HI2" s="411">
        <f t="shared" si="9"/>
        <v>1900</v>
      </c>
      <c r="HJ2" s="411">
        <f t="shared" si="9"/>
        <v>1900</v>
      </c>
      <c r="HK2" s="411">
        <f t="shared" si="9"/>
        <v>1900</v>
      </c>
      <c r="HL2" s="411">
        <f t="shared" si="9"/>
        <v>1900</v>
      </c>
      <c r="HM2" s="411">
        <f t="shared" si="9"/>
        <v>1900</v>
      </c>
      <c r="HN2" s="411">
        <f t="shared" si="9"/>
        <v>1900</v>
      </c>
      <c r="HO2" s="411">
        <f t="shared" si="9"/>
        <v>1900</v>
      </c>
      <c r="HP2" s="411">
        <f t="shared" si="9"/>
        <v>1900</v>
      </c>
      <c r="HQ2" s="411">
        <f t="shared" si="9"/>
        <v>1900</v>
      </c>
      <c r="HR2" s="411">
        <f t="shared" si="9"/>
        <v>1900</v>
      </c>
      <c r="HS2" s="411">
        <f t="shared" si="9"/>
        <v>1900</v>
      </c>
      <c r="HT2" s="411">
        <f t="shared" si="9"/>
        <v>1900</v>
      </c>
      <c r="HU2" s="411">
        <f t="shared" si="9"/>
        <v>1900</v>
      </c>
      <c r="HV2" s="411">
        <f t="shared" si="9"/>
        <v>1900</v>
      </c>
      <c r="HW2" s="411">
        <f t="shared" si="9"/>
        <v>1900</v>
      </c>
      <c r="HX2" s="411">
        <f t="shared" si="9"/>
        <v>1900</v>
      </c>
      <c r="HY2" s="411">
        <f t="shared" si="9"/>
        <v>1900</v>
      </c>
      <c r="HZ2" s="411">
        <f t="shared" si="9"/>
        <v>1900</v>
      </c>
      <c r="IA2" s="411">
        <f t="shared" si="9"/>
        <v>1900</v>
      </c>
      <c r="IB2" s="411">
        <f t="shared" si="9"/>
        <v>1900</v>
      </c>
      <c r="IC2" s="411">
        <f t="shared" si="9"/>
        <v>1900</v>
      </c>
      <c r="ID2" s="411">
        <f t="shared" si="9"/>
        <v>1900</v>
      </c>
      <c r="IE2" s="411">
        <f t="shared" si="9"/>
        <v>1900</v>
      </c>
      <c r="IF2" s="411">
        <f t="shared" si="9"/>
        <v>1900</v>
      </c>
      <c r="IG2" s="411">
        <f t="shared" si="9"/>
        <v>1900</v>
      </c>
      <c r="IH2" s="411">
        <f t="shared" si="9"/>
        <v>1900</v>
      </c>
      <c r="II2" s="411">
        <f t="shared" si="9"/>
        <v>1900</v>
      </c>
      <c r="IJ2" s="411">
        <f t="shared" si="9"/>
        <v>1900</v>
      </c>
      <c r="IK2" s="411">
        <f t="shared" si="9"/>
        <v>1900</v>
      </c>
      <c r="IL2" s="411">
        <f t="shared" si="9"/>
        <v>1900</v>
      </c>
      <c r="IM2" s="411">
        <f t="shared" si="9"/>
        <v>1900</v>
      </c>
      <c r="IN2" s="411">
        <f t="shared" si="9"/>
        <v>1900</v>
      </c>
      <c r="IO2" s="411">
        <f t="shared" si="9"/>
        <v>1900</v>
      </c>
      <c r="IP2" s="411">
        <f t="shared" si="9"/>
        <v>1900</v>
      </c>
      <c r="IQ2" s="411">
        <f t="shared" si="9"/>
        <v>1900</v>
      </c>
      <c r="IR2" s="411">
        <f t="shared" si="9"/>
        <v>1900</v>
      </c>
      <c r="IS2" s="411">
        <f t="shared" si="9"/>
        <v>1900</v>
      </c>
      <c r="IT2" s="411">
        <f t="shared" si="9"/>
        <v>1900</v>
      </c>
      <c r="IU2" s="411">
        <f t="shared" si="9"/>
        <v>1900</v>
      </c>
      <c r="IV2" s="411">
        <f t="shared" si="9"/>
        <v>1900</v>
      </c>
      <c r="IW2" s="411">
        <f t="shared" si="9"/>
        <v>1900</v>
      </c>
      <c r="IX2" s="411">
        <f t="shared" si="9"/>
        <v>1900</v>
      </c>
      <c r="IY2" s="411">
        <f t="shared" ref="IY2:JD2" si="10">YEAR(IY7)</f>
        <v>1900</v>
      </c>
      <c r="IZ2" s="411">
        <f t="shared" si="10"/>
        <v>1900</v>
      </c>
      <c r="JA2" s="411">
        <f t="shared" si="10"/>
        <v>1900</v>
      </c>
      <c r="JB2" s="411">
        <f t="shared" si="10"/>
        <v>1900</v>
      </c>
      <c r="JC2" s="411">
        <f t="shared" si="10"/>
        <v>1900</v>
      </c>
      <c r="JD2" s="411">
        <f t="shared" si="10"/>
        <v>1900</v>
      </c>
    </row>
    <row r="3" spans="1:264" ht="15.75" customHeight="1" x14ac:dyDescent="0.3"/>
    <row r="4" spans="1:264" ht="15.75" customHeight="1" x14ac:dyDescent="0.3"/>
    <row r="6" spans="1:264" ht="15" thickBot="1" x14ac:dyDescent="0.35">
      <c r="A6" s="4" t="s">
        <v>664</v>
      </c>
    </row>
    <row r="7" spans="1:264" x14ac:dyDescent="0.3">
      <c r="A7" s="536"/>
      <c r="B7" s="537">
        <v>40179</v>
      </c>
      <c r="C7" s="441">
        <v>40210</v>
      </c>
      <c r="D7" s="441">
        <v>40238</v>
      </c>
      <c r="E7" s="441">
        <v>40269</v>
      </c>
      <c r="F7" s="441">
        <v>40299</v>
      </c>
      <c r="G7" s="441">
        <v>40330</v>
      </c>
      <c r="H7" s="441">
        <v>40360</v>
      </c>
      <c r="I7" s="441">
        <v>40391</v>
      </c>
      <c r="J7" s="441">
        <v>40422</v>
      </c>
      <c r="K7" s="441">
        <v>40452</v>
      </c>
      <c r="L7" s="441">
        <v>40483</v>
      </c>
      <c r="M7" s="441">
        <v>40513</v>
      </c>
      <c r="N7" s="441">
        <v>40544</v>
      </c>
      <c r="O7" s="441">
        <v>40575</v>
      </c>
      <c r="P7" s="441">
        <v>40603</v>
      </c>
      <c r="Q7" s="441">
        <v>40634</v>
      </c>
      <c r="R7" s="441">
        <v>40664</v>
      </c>
      <c r="S7" s="441">
        <v>40695</v>
      </c>
      <c r="T7" s="441">
        <v>40725</v>
      </c>
      <c r="U7" s="441">
        <v>40756</v>
      </c>
      <c r="V7" s="441">
        <v>40787</v>
      </c>
      <c r="W7" s="441">
        <v>40817</v>
      </c>
      <c r="X7" s="441">
        <v>40848</v>
      </c>
      <c r="Y7" s="441">
        <v>40878</v>
      </c>
      <c r="Z7" s="441">
        <v>40909</v>
      </c>
      <c r="AA7" s="441">
        <v>40940</v>
      </c>
      <c r="AB7" s="441">
        <v>40969</v>
      </c>
      <c r="AC7" s="441">
        <v>41000</v>
      </c>
      <c r="AD7" s="441">
        <v>41030</v>
      </c>
      <c r="AE7" s="441">
        <v>41061</v>
      </c>
      <c r="AF7" s="441">
        <v>41091</v>
      </c>
      <c r="AG7" s="441">
        <v>41122</v>
      </c>
      <c r="AH7" s="441">
        <v>41153</v>
      </c>
      <c r="AI7" s="441">
        <v>41183</v>
      </c>
      <c r="AJ7" s="441">
        <v>41214</v>
      </c>
      <c r="AK7" s="441">
        <v>41244</v>
      </c>
      <c r="AL7" s="441">
        <v>41275</v>
      </c>
      <c r="AM7" s="441">
        <v>41306</v>
      </c>
      <c r="AN7" s="441">
        <v>41334</v>
      </c>
      <c r="AO7" s="441">
        <v>41365</v>
      </c>
      <c r="AP7" s="441">
        <v>41395</v>
      </c>
      <c r="AQ7" s="441">
        <v>41426</v>
      </c>
      <c r="AR7" s="441">
        <v>41456</v>
      </c>
      <c r="AS7" s="441">
        <v>41487</v>
      </c>
      <c r="AT7" s="441">
        <v>41518</v>
      </c>
      <c r="AU7" s="441">
        <v>41548</v>
      </c>
      <c r="AV7" s="441">
        <v>41579</v>
      </c>
      <c r="AW7" s="441">
        <v>41609</v>
      </c>
      <c r="AX7" s="441">
        <v>41640</v>
      </c>
      <c r="AY7" s="441">
        <v>41671</v>
      </c>
      <c r="AZ7" s="441">
        <v>41699</v>
      </c>
      <c r="BA7" s="441">
        <v>41730</v>
      </c>
      <c r="BB7" s="441">
        <v>41760</v>
      </c>
      <c r="BC7" s="441">
        <v>41791</v>
      </c>
      <c r="BD7" s="441">
        <v>41821</v>
      </c>
      <c r="BE7" s="441">
        <v>41852</v>
      </c>
      <c r="BF7" s="441">
        <v>41883</v>
      </c>
      <c r="BG7" s="441">
        <v>41913</v>
      </c>
      <c r="BH7" s="441">
        <v>41944</v>
      </c>
      <c r="BI7" s="441">
        <v>41974</v>
      </c>
      <c r="BJ7" s="441">
        <v>42005</v>
      </c>
      <c r="BK7" s="441">
        <v>42036</v>
      </c>
      <c r="BL7" s="441">
        <v>42064</v>
      </c>
      <c r="BM7" s="441">
        <v>42095</v>
      </c>
      <c r="BN7" s="441">
        <v>42125</v>
      </c>
      <c r="BO7" s="441">
        <v>42156</v>
      </c>
      <c r="BP7" s="441">
        <v>42186</v>
      </c>
      <c r="BQ7" s="441">
        <v>42217</v>
      </c>
      <c r="BR7" s="441">
        <v>42248</v>
      </c>
      <c r="BS7" s="441">
        <v>42278</v>
      </c>
      <c r="BT7" s="441">
        <v>42309</v>
      </c>
      <c r="BU7" s="441">
        <v>42339</v>
      </c>
      <c r="BV7" s="441">
        <v>42370</v>
      </c>
      <c r="BW7" s="441">
        <v>42401</v>
      </c>
      <c r="BX7" s="441">
        <v>42430</v>
      </c>
      <c r="BY7" s="441">
        <v>42461</v>
      </c>
      <c r="BZ7" s="441">
        <v>42491</v>
      </c>
      <c r="CA7" s="441">
        <v>42522</v>
      </c>
      <c r="CB7" s="441">
        <v>42552</v>
      </c>
      <c r="CC7" s="441">
        <v>42583</v>
      </c>
      <c r="CD7" s="441">
        <v>42614</v>
      </c>
      <c r="CE7" s="441">
        <v>42644</v>
      </c>
      <c r="CF7" s="441">
        <v>42675</v>
      </c>
      <c r="CG7" s="441">
        <v>42705</v>
      </c>
      <c r="CH7" s="441">
        <v>42736</v>
      </c>
      <c r="CI7" s="441">
        <v>42767</v>
      </c>
      <c r="CJ7" s="441">
        <v>42795</v>
      </c>
      <c r="CK7" s="441">
        <v>42826</v>
      </c>
      <c r="CL7" s="441">
        <v>42856</v>
      </c>
      <c r="CM7" s="441">
        <v>42887</v>
      </c>
      <c r="CN7" s="441">
        <v>42917</v>
      </c>
      <c r="CO7" s="441">
        <v>42948</v>
      </c>
      <c r="CP7" s="441">
        <v>42979</v>
      </c>
      <c r="CQ7" s="441">
        <v>43009</v>
      </c>
      <c r="CR7" s="441">
        <v>43040</v>
      </c>
      <c r="CS7" s="441">
        <v>43070</v>
      </c>
      <c r="CT7" s="441">
        <v>43101</v>
      </c>
      <c r="CU7" s="441">
        <v>43132</v>
      </c>
      <c r="CV7" s="441">
        <v>43160</v>
      </c>
      <c r="CW7" s="441">
        <v>43191</v>
      </c>
      <c r="CX7" s="441">
        <v>43221</v>
      </c>
      <c r="CY7" s="441">
        <v>43252</v>
      </c>
      <c r="CZ7" s="441">
        <v>43282</v>
      </c>
      <c r="DA7" s="441">
        <v>43313</v>
      </c>
      <c r="DB7" s="441">
        <v>43344</v>
      </c>
      <c r="DC7" s="441">
        <v>43374</v>
      </c>
      <c r="DD7" s="441">
        <v>43405</v>
      </c>
      <c r="DE7" s="441">
        <v>43435</v>
      </c>
      <c r="DF7" s="441">
        <v>43466</v>
      </c>
      <c r="DG7" s="441">
        <v>43497</v>
      </c>
      <c r="DH7" s="441">
        <v>43525</v>
      </c>
      <c r="DI7" s="441">
        <v>43556</v>
      </c>
      <c r="DJ7" s="441">
        <v>43586</v>
      </c>
      <c r="DK7" s="441">
        <v>43617</v>
      </c>
      <c r="DL7" s="441">
        <v>43647</v>
      </c>
      <c r="DM7" s="441">
        <v>43678</v>
      </c>
      <c r="DN7" s="441">
        <v>43709</v>
      </c>
      <c r="DO7" s="441">
        <v>43739</v>
      </c>
      <c r="DP7" s="441">
        <v>43770</v>
      </c>
      <c r="DQ7" s="441">
        <v>43800</v>
      </c>
      <c r="DR7" s="441">
        <v>43831</v>
      </c>
      <c r="DS7" s="441">
        <v>43862</v>
      </c>
      <c r="DT7" s="441">
        <v>43891</v>
      </c>
      <c r="DU7" s="441">
        <v>43922</v>
      </c>
      <c r="DV7" s="441">
        <v>43952</v>
      </c>
      <c r="DW7" s="441">
        <v>43983</v>
      </c>
      <c r="DX7" s="441">
        <v>44013</v>
      </c>
      <c r="DY7" s="441">
        <v>44044</v>
      </c>
      <c r="DZ7" s="441">
        <v>44075</v>
      </c>
      <c r="EA7" s="441">
        <v>44105</v>
      </c>
      <c r="EB7" s="441">
        <v>44136</v>
      </c>
      <c r="EC7" s="441">
        <v>44166</v>
      </c>
      <c r="ED7" s="441">
        <v>44197</v>
      </c>
      <c r="EE7" s="441">
        <v>44228</v>
      </c>
      <c r="EF7" s="441">
        <v>44256</v>
      </c>
      <c r="EG7" s="441">
        <v>44287</v>
      </c>
      <c r="EH7" s="441">
        <v>44317</v>
      </c>
      <c r="EI7" s="441">
        <v>44348</v>
      </c>
      <c r="EJ7" s="441">
        <v>44378</v>
      </c>
      <c r="EK7" s="441">
        <v>44409</v>
      </c>
      <c r="EL7" s="441">
        <v>44440</v>
      </c>
      <c r="EM7" s="441">
        <v>44470</v>
      </c>
      <c r="EN7" s="441">
        <v>44501</v>
      </c>
      <c r="EO7" s="441">
        <v>44531</v>
      </c>
      <c r="EP7" s="441">
        <v>44562</v>
      </c>
      <c r="EQ7" s="441">
        <v>44593</v>
      </c>
      <c r="ER7" s="538">
        <v>44621</v>
      </c>
      <c r="ES7" s="539"/>
      <c r="ET7" s="539"/>
      <c r="EU7" s="539"/>
    </row>
    <row r="8" spans="1:264" x14ac:dyDescent="0.3">
      <c r="A8" s="469" t="s">
        <v>665</v>
      </c>
      <c r="B8" s="540">
        <v>528.07802112312083</v>
      </c>
      <c r="C8" s="541">
        <v>565.40402261616089</v>
      </c>
      <c r="D8" s="541">
        <v>561.5160224606409</v>
      </c>
      <c r="E8" s="541">
        <v>560.01602240064085</v>
      </c>
      <c r="F8" s="541">
        <v>602.80202411208097</v>
      </c>
      <c r="G8" s="541">
        <v>530.55002122200085</v>
      </c>
      <c r="H8" s="541">
        <v>553.05002212200088</v>
      </c>
      <c r="I8" s="541">
        <v>459.42001837680073</v>
      </c>
      <c r="J8" s="541">
        <v>528.73802114952082</v>
      </c>
      <c r="K8" s="541">
        <v>538.96202155848084</v>
      </c>
      <c r="L8" s="541">
        <v>529.45202117808083</v>
      </c>
      <c r="M8" s="541">
        <v>541.68602166744085</v>
      </c>
      <c r="N8" s="541">
        <v>602.10002408400089</v>
      </c>
      <c r="O8" s="541">
        <v>601.49402405976093</v>
      </c>
      <c r="P8" s="541">
        <v>609.7560243902409</v>
      </c>
      <c r="Q8" s="541">
        <v>602.35802409432097</v>
      </c>
      <c r="R8" s="541">
        <v>655.986026239441</v>
      </c>
      <c r="S8" s="541">
        <v>688.85402755416112</v>
      </c>
      <c r="T8" s="541">
        <v>783.96003135840124</v>
      </c>
      <c r="U8" s="541">
        <v>871.52403486096136</v>
      </c>
      <c r="V8" s="541">
        <v>709.54802838192109</v>
      </c>
      <c r="W8" s="541">
        <v>717.81002871240116</v>
      </c>
      <c r="X8" s="541">
        <v>720.63002882520107</v>
      </c>
      <c r="Y8" s="541">
        <v>727.84202911368118</v>
      </c>
      <c r="Z8" s="541">
        <v>723.90602895624113</v>
      </c>
      <c r="AA8" s="541">
        <v>700.09202800368109</v>
      </c>
      <c r="AB8" s="541">
        <v>710.34002841360109</v>
      </c>
      <c r="AC8" s="541">
        <v>677.1600270864011</v>
      </c>
      <c r="AD8" s="541">
        <v>723.07802892312111</v>
      </c>
      <c r="AE8" s="541">
        <v>724.12202896488111</v>
      </c>
      <c r="AF8" s="541">
        <v>993.09003972360154</v>
      </c>
      <c r="AG8" s="541">
        <v>1279.2420511696821</v>
      </c>
      <c r="AH8" s="541">
        <v>1095.5100438204017</v>
      </c>
      <c r="AI8" s="541">
        <v>754.38603017544119</v>
      </c>
      <c r="AJ8" s="541">
        <v>767.69403070776116</v>
      </c>
      <c r="AK8" s="541">
        <v>719.70602878824116</v>
      </c>
      <c r="AL8" s="541">
        <v>706.71602826864114</v>
      </c>
      <c r="AM8" s="541">
        <v>695.39402781576109</v>
      </c>
      <c r="AN8" s="541">
        <v>717.28202869128108</v>
      </c>
      <c r="AO8" s="541">
        <v>774.50403098016125</v>
      </c>
      <c r="AP8" s="541">
        <v>839.40003357600131</v>
      </c>
      <c r="AQ8" s="541">
        <v>900.86403603456142</v>
      </c>
      <c r="AR8" s="541">
        <v>867.60603470424132</v>
      </c>
      <c r="AS8" s="541">
        <v>869.84403479376135</v>
      </c>
      <c r="AT8" s="541">
        <v>962.38803849552153</v>
      </c>
      <c r="AU8" s="541">
        <v>823.65603294624123</v>
      </c>
      <c r="AV8" s="541">
        <v>731.93402927736111</v>
      </c>
      <c r="AW8" s="541">
        <v>649.644025985761</v>
      </c>
      <c r="AX8" s="541">
        <v>662.55002650200106</v>
      </c>
      <c r="AY8" s="541">
        <v>616.46402465856102</v>
      </c>
      <c r="AZ8" s="541">
        <v>635.52602542104103</v>
      </c>
      <c r="BA8" s="541">
        <v>618.84002475360091</v>
      </c>
      <c r="BB8" s="541">
        <v>692.97002771880113</v>
      </c>
      <c r="BC8" s="541">
        <v>632.29802529192102</v>
      </c>
      <c r="BD8" s="541">
        <v>726.11402904456111</v>
      </c>
      <c r="BE8" s="541">
        <v>646.71602586864105</v>
      </c>
      <c r="BF8" s="541">
        <v>602.28002409120097</v>
      </c>
      <c r="BG8" s="541">
        <v>603.17402412696094</v>
      </c>
      <c r="BH8" s="541">
        <v>570.44402281776092</v>
      </c>
      <c r="BI8" s="541">
        <v>545.06402180256089</v>
      </c>
      <c r="BJ8" s="541">
        <v>552.00602208024088</v>
      </c>
      <c r="BK8" s="541">
        <v>543.59402174376089</v>
      </c>
      <c r="BL8" s="541">
        <v>587.6760235070409</v>
      </c>
      <c r="BM8" s="541">
        <v>569.65802278632088</v>
      </c>
      <c r="BN8" s="541">
        <v>554.0520221620809</v>
      </c>
      <c r="BO8" s="541">
        <v>561.82802247312088</v>
      </c>
      <c r="BP8" s="541">
        <v>591.59402366376094</v>
      </c>
      <c r="BQ8" s="541">
        <v>599.29202397168092</v>
      </c>
      <c r="BR8" s="541">
        <v>581.45402325816087</v>
      </c>
      <c r="BS8" s="541">
        <v>577.21202308848092</v>
      </c>
      <c r="BT8" s="541">
        <v>559.6200223848009</v>
      </c>
      <c r="BU8" s="541">
        <v>502.75802011032079</v>
      </c>
      <c r="BV8" s="541">
        <v>481.79401927176076</v>
      </c>
      <c r="BW8" s="541">
        <v>479.91001919640075</v>
      </c>
      <c r="BX8" s="541">
        <v>476.66401906656074</v>
      </c>
      <c r="BY8" s="541">
        <v>463.5720185428807</v>
      </c>
      <c r="BZ8" s="541">
        <v>482.32201929288073</v>
      </c>
      <c r="CA8" s="541">
        <v>483.78601935144076</v>
      </c>
      <c r="CB8" s="541">
        <v>460.47001841880069</v>
      </c>
      <c r="CC8" s="541">
        <v>470.06401880256072</v>
      </c>
      <c r="CD8" s="541">
        <v>463.48801853952074</v>
      </c>
      <c r="CE8" s="541">
        <v>435.78601743144065</v>
      </c>
      <c r="CF8" s="541">
        <v>568.36802273472085</v>
      </c>
      <c r="CG8" s="541">
        <v>579.64802318592092</v>
      </c>
      <c r="CH8" s="541">
        <v>558.16202232648084</v>
      </c>
      <c r="CI8" s="541">
        <v>625.00802500032103</v>
      </c>
      <c r="CJ8" s="541">
        <v>587.31002349240089</v>
      </c>
      <c r="CK8" s="541">
        <v>573.75602295024089</v>
      </c>
      <c r="CL8" s="541">
        <v>632.39402529576103</v>
      </c>
      <c r="CM8" s="541">
        <v>633.57602534304101</v>
      </c>
      <c r="CN8" s="541">
        <v>592.96202371848096</v>
      </c>
      <c r="CO8" s="541">
        <v>569.4420227776809</v>
      </c>
      <c r="CP8" s="541">
        <v>530.33402121336087</v>
      </c>
      <c r="CQ8" s="541">
        <v>501.33002005320077</v>
      </c>
      <c r="CR8" s="541">
        <v>501.96002007840076</v>
      </c>
      <c r="CS8" s="541">
        <v>477.69001910760073</v>
      </c>
      <c r="CT8" s="541">
        <v>441.90601767624071</v>
      </c>
      <c r="CU8" s="541">
        <v>457.05001828200074</v>
      </c>
      <c r="CV8" s="541">
        <v>519.64202078568076</v>
      </c>
      <c r="CW8" s="541">
        <v>546.24002184960079</v>
      </c>
      <c r="CX8" s="541">
        <v>520.05602080224082</v>
      </c>
      <c r="CY8" s="541">
        <v>484.11001936440073</v>
      </c>
      <c r="CZ8" s="541">
        <v>487.61401950456076</v>
      </c>
      <c r="DA8" s="541">
        <v>492.24001968960079</v>
      </c>
      <c r="DB8" s="541">
        <v>537.42002149680081</v>
      </c>
      <c r="DC8" s="541">
        <v>683.80802735232112</v>
      </c>
      <c r="DD8" s="541">
        <v>612.5580245023209</v>
      </c>
      <c r="DE8" s="541">
        <v>456.12601824504071</v>
      </c>
      <c r="DF8" s="541">
        <v>442.53001770120068</v>
      </c>
      <c r="DG8" s="541">
        <v>456.82201827288071</v>
      </c>
      <c r="DH8" s="541">
        <v>547.7100219084009</v>
      </c>
      <c r="DI8" s="541">
        <v>455.62801822512068</v>
      </c>
      <c r="DJ8" s="541">
        <v>514.07402056296075</v>
      </c>
      <c r="DK8" s="541">
        <v>499.00201996008076</v>
      </c>
      <c r="DL8" s="541">
        <v>501.5760200630408</v>
      </c>
      <c r="DM8" s="541">
        <v>526.47002105880085</v>
      </c>
      <c r="DN8" s="541">
        <v>539.88602159544087</v>
      </c>
      <c r="DO8" s="541">
        <v>512.8860205154408</v>
      </c>
      <c r="DP8" s="541">
        <v>507.04202028168078</v>
      </c>
      <c r="DQ8" s="541">
        <v>463.5240185409607</v>
      </c>
      <c r="DR8" s="541">
        <v>467.75064498710032</v>
      </c>
      <c r="DS8" s="541">
        <v>475.70048599028024</v>
      </c>
      <c r="DT8" s="541">
        <v>552.45095098098045</v>
      </c>
      <c r="DU8" s="541">
        <v>460.39479210415794</v>
      </c>
      <c r="DV8" s="541">
        <v>475.80848383032344</v>
      </c>
      <c r="DW8" s="542">
        <v>458.96682066358676</v>
      </c>
      <c r="DX8" s="541">
        <v>727</v>
      </c>
      <c r="DY8" s="541">
        <v>719</v>
      </c>
      <c r="DZ8" s="541">
        <v>698</v>
      </c>
      <c r="EA8" s="541">
        <v>692</v>
      </c>
      <c r="EB8" s="541">
        <v>706</v>
      </c>
      <c r="EC8" s="541">
        <v>699</v>
      </c>
      <c r="ED8" s="541">
        <v>641</v>
      </c>
      <c r="EE8" s="541">
        <v>667</v>
      </c>
      <c r="EF8" s="541">
        <v>712</v>
      </c>
      <c r="EG8" s="541">
        <v>744</v>
      </c>
      <c r="EH8" s="541">
        <v>732</v>
      </c>
      <c r="EI8" s="541">
        <v>781</v>
      </c>
      <c r="EJ8" s="541">
        <v>713</v>
      </c>
      <c r="EK8" s="541">
        <v>722</v>
      </c>
      <c r="EL8" s="541">
        <v>755</v>
      </c>
      <c r="EM8" s="541">
        <v>715</v>
      </c>
      <c r="EN8" s="541">
        <v>741</v>
      </c>
      <c r="EO8" s="541">
        <v>731</v>
      </c>
      <c r="EP8" s="541">
        <v>641</v>
      </c>
      <c r="EQ8" s="541">
        <v>803</v>
      </c>
      <c r="ER8" s="543">
        <v>735</v>
      </c>
      <c r="ES8" s="544"/>
      <c r="ET8" s="544"/>
      <c r="EU8" s="544"/>
    </row>
    <row r="9" spans="1:264" x14ac:dyDescent="0.3">
      <c r="A9" s="469" t="s">
        <v>252</v>
      </c>
      <c r="B9" s="545">
        <v>1490.8860596354423</v>
      </c>
      <c r="C9" s="546">
        <v>1208.5860483434419</v>
      </c>
      <c r="D9" s="546">
        <v>1152.7260461090418</v>
      </c>
      <c r="E9" s="546">
        <v>1178.4780471391218</v>
      </c>
      <c r="F9" s="546">
        <v>1178.2680471307219</v>
      </c>
      <c r="G9" s="546">
        <v>1475.4960590198423</v>
      </c>
      <c r="H9" s="546">
        <v>1614.4800645792025</v>
      </c>
      <c r="I9" s="546">
        <v>2121.8040848721635</v>
      </c>
      <c r="J9" s="546">
        <v>2410.9560964382435</v>
      </c>
      <c r="K9" s="546">
        <v>2474.922098996884</v>
      </c>
      <c r="L9" s="546">
        <v>2648.2561059302443</v>
      </c>
      <c r="M9" s="546">
        <v>2649.5281059811241</v>
      </c>
      <c r="N9" s="546">
        <v>2416.1760966470438</v>
      </c>
      <c r="O9" s="546">
        <v>1468.8000587520023</v>
      </c>
      <c r="P9" s="546">
        <v>1619.7900647916026</v>
      </c>
      <c r="Q9" s="546">
        <v>1327.974053118962</v>
      </c>
      <c r="R9" s="546">
        <v>1475.5320590212823</v>
      </c>
      <c r="S9" s="546">
        <v>1563.8280625531224</v>
      </c>
      <c r="T9" s="546">
        <v>1508.1060603242424</v>
      </c>
      <c r="U9" s="546">
        <v>1702.3380680935227</v>
      </c>
      <c r="V9" s="546">
        <v>2354.1060941642436</v>
      </c>
      <c r="W9" s="546">
        <v>1872.7980749119229</v>
      </c>
      <c r="X9" s="546">
        <v>1783.3260713330428</v>
      </c>
      <c r="Y9" s="546">
        <v>1979.8200791928032</v>
      </c>
      <c r="Z9" s="546">
        <v>1308.8580523543221</v>
      </c>
      <c r="AA9" s="546">
        <v>2322.1020928840835</v>
      </c>
      <c r="AB9" s="546">
        <v>3196.3981278559249</v>
      </c>
      <c r="AC9" s="546">
        <v>2759.2921103716844</v>
      </c>
      <c r="AD9" s="546">
        <v>2866.7461146698442</v>
      </c>
      <c r="AE9" s="546">
        <v>3350.7121340284853</v>
      </c>
      <c r="AF9" s="546">
        <v>1933.5840773433631</v>
      </c>
      <c r="AG9" s="546">
        <v>2097.9660839186431</v>
      </c>
      <c r="AH9" s="546">
        <v>1923.708076948323</v>
      </c>
      <c r="AI9" s="546">
        <v>2066.1600826464032</v>
      </c>
      <c r="AJ9" s="546">
        <v>2432.1600972864039</v>
      </c>
      <c r="AK9" s="546">
        <v>2212.6500885060036</v>
      </c>
      <c r="AL9" s="546">
        <v>1666.0020666400826</v>
      </c>
      <c r="AM9" s="546">
        <v>2119.5600847824035</v>
      </c>
      <c r="AN9" s="546">
        <v>2008.7640803505631</v>
      </c>
      <c r="AO9" s="546">
        <v>2134.0200853608035</v>
      </c>
      <c r="AP9" s="546">
        <v>2392.7760957110436</v>
      </c>
      <c r="AQ9" s="546">
        <v>2505.4441002177641</v>
      </c>
      <c r="AR9" s="546">
        <v>2230.8300892332036</v>
      </c>
      <c r="AS9" s="546">
        <v>1580.3940632157626</v>
      </c>
      <c r="AT9" s="546">
        <v>1532.4960612998425</v>
      </c>
      <c r="AU9" s="546">
        <v>1698.1140679245627</v>
      </c>
      <c r="AV9" s="546">
        <v>1634.1900653676025</v>
      </c>
      <c r="AW9" s="546">
        <v>1060.3020424120816</v>
      </c>
      <c r="AX9" s="546">
        <v>1201.5120480604819</v>
      </c>
      <c r="AY9" s="546">
        <v>1041.3000416520017</v>
      </c>
      <c r="AZ9" s="546">
        <v>1140.1680456067218</v>
      </c>
      <c r="BA9" s="546">
        <v>1140.1920456076818</v>
      </c>
      <c r="BB9" s="546">
        <v>1284.8880513955221</v>
      </c>
      <c r="BC9" s="546">
        <v>1543.7460617498425</v>
      </c>
      <c r="BD9" s="546">
        <v>1569.4560627782425</v>
      </c>
      <c r="BE9" s="546">
        <v>1844.3280737731229</v>
      </c>
      <c r="BF9" s="546">
        <v>1784.5260713810428</v>
      </c>
      <c r="BG9" s="546">
        <v>1936.3620774544829</v>
      </c>
      <c r="BH9" s="546">
        <v>2017.3980806959232</v>
      </c>
      <c r="BI9" s="546">
        <v>1470.8700588348022</v>
      </c>
      <c r="BJ9" s="546">
        <v>1490.4360596174424</v>
      </c>
      <c r="BK9" s="546">
        <v>1278.9660511586419</v>
      </c>
      <c r="BL9" s="546">
        <v>1344.0900537636021</v>
      </c>
      <c r="BM9" s="546">
        <v>1449.7080579883223</v>
      </c>
      <c r="BN9" s="546">
        <v>1558.8360623534425</v>
      </c>
      <c r="BO9" s="546">
        <v>1479.6600591864023</v>
      </c>
      <c r="BP9" s="546">
        <v>1595.5200638208025</v>
      </c>
      <c r="BQ9" s="546">
        <v>1551.4860620594425</v>
      </c>
      <c r="BR9" s="546">
        <v>1278.5460511418421</v>
      </c>
      <c r="BS9" s="546">
        <v>1523.1660609266423</v>
      </c>
      <c r="BT9" s="546">
        <v>1028.3040411321615</v>
      </c>
      <c r="BU9" s="546">
        <v>839.29203357168126</v>
      </c>
      <c r="BV9" s="546">
        <v>684.17402736696101</v>
      </c>
      <c r="BW9" s="546">
        <v>546.73802186952082</v>
      </c>
      <c r="BX9" s="546">
        <v>526.72202106888085</v>
      </c>
      <c r="BY9" s="546">
        <v>507.1740202869608</v>
      </c>
      <c r="BZ9" s="546">
        <v>451.74601806984072</v>
      </c>
      <c r="CA9" s="546">
        <v>370.21801480872057</v>
      </c>
      <c r="CB9" s="546">
        <v>366.10201464408055</v>
      </c>
      <c r="CC9" s="546">
        <v>446.88001787520068</v>
      </c>
      <c r="CD9" s="546">
        <v>395.09401580376061</v>
      </c>
      <c r="CE9" s="546">
        <v>664.81802659272103</v>
      </c>
      <c r="CF9" s="546">
        <v>780.36003121440126</v>
      </c>
      <c r="CG9" s="546">
        <v>786.15003144600121</v>
      </c>
      <c r="CH9" s="546">
        <v>665.89802663592104</v>
      </c>
      <c r="CI9" s="546">
        <v>616.37402465496098</v>
      </c>
      <c r="CJ9" s="546">
        <v>707.71802830872105</v>
      </c>
      <c r="CK9" s="546">
        <v>747.07802988312119</v>
      </c>
      <c r="CL9" s="546">
        <v>794.67603178704121</v>
      </c>
      <c r="CM9" s="546">
        <v>831.16803324672128</v>
      </c>
      <c r="CN9" s="546">
        <v>752.29803009192119</v>
      </c>
      <c r="CO9" s="546">
        <v>728.55602914224119</v>
      </c>
      <c r="CP9" s="546">
        <v>734.1000293640011</v>
      </c>
      <c r="CQ9" s="546">
        <v>806.89803227592131</v>
      </c>
      <c r="CR9" s="546">
        <v>643.91402575656105</v>
      </c>
      <c r="CS9" s="546">
        <v>523.41602093664085</v>
      </c>
      <c r="CT9" s="546">
        <v>477.03601908144077</v>
      </c>
      <c r="CU9" s="546">
        <v>507.97802031912079</v>
      </c>
      <c r="CV9" s="546">
        <v>650.61002602440101</v>
      </c>
      <c r="CW9" s="546">
        <v>490.86601963464074</v>
      </c>
      <c r="CX9" s="546">
        <v>815.54403262176129</v>
      </c>
      <c r="CY9" s="546">
        <v>626.88002507520093</v>
      </c>
      <c r="CZ9" s="546">
        <v>803.09403212376128</v>
      </c>
      <c r="DA9" s="546">
        <v>626.07002504280092</v>
      </c>
      <c r="DB9" s="546">
        <v>771.19203084768117</v>
      </c>
      <c r="DC9" s="546">
        <v>718.99202875968115</v>
      </c>
      <c r="DD9" s="546">
        <v>692.59802770392105</v>
      </c>
      <c r="DE9" s="546">
        <v>620.38802481552102</v>
      </c>
      <c r="DF9" s="546">
        <v>1004.6640401865616</v>
      </c>
      <c r="DG9" s="546">
        <v>557.84402231376089</v>
      </c>
      <c r="DH9" s="546">
        <v>720.25802881032109</v>
      </c>
      <c r="DI9" s="546">
        <v>736.20602944824111</v>
      </c>
      <c r="DJ9" s="546">
        <v>589.75802359032093</v>
      </c>
      <c r="DK9" s="546">
        <v>736.6920294676811</v>
      </c>
      <c r="DL9" s="546">
        <v>698.44202793768113</v>
      </c>
      <c r="DM9" s="546">
        <v>714.58202858328116</v>
      </c>
      <c r="DN9" s="546">
        <v>724.69802898792113</v>
      </c>
      <c r="DO9" s="546">
        <v>995.74203982968152</v>
      </c>
      <c r="DP9" s="546">
        <v>988.23603952944154</v>
      </c>
      <c r="DQ9" s="546">
        <v>695.73002782920105</v>
      </c>
      <c r="DR9" s="546">
        <v>700.65398692026167</v>
      </c>
      <c r="DS9" s="546">
        <v>581.50236995260104</v>
      </c>
      <c r="DT9" s="546">
        <v>676.16247675046509</v>
      </c>
      <c r="DU9" s="546">
        <v>288.90622187556249</v>
      </c>
      <c r="DV9" s="546">
        <v>346.64906701865965</v>
      </c>
      <c r="DW9" s="547">
        <v>359.62680746385075</v>
      </c>
      <c r="DX9" s="546">
        <v>277</v>
      </c>
      <c r="DY9" s="546">
        <v>433</v>
      </c>
      <c r="DZ9" s="546">
        <v>434</v>
      </c>
      <c r="EA9" s="546">
        <v>454</v>
      </c>
      <c r="EB9" s="546">
        <v>390</v>
      </c>
      <c r="EC9" s="546">
        <v>361</v>
      </c>
      <c r="ED9" s="546">
        <v>395</v>
      </c>
      <c r="EE9" s="546">
        <v>434</v>
      </c>
      <c r="EF9" s="546">
        <v>508</v>
      </c>
      <c r="EG9" s="546">
        <v>419</v>
      </c>
      <c r="EH9" s="546">
        <v>425</v>
      </c>
      <c r="EI9" s="546">
        <v>424</v>
      </c>
      <c r="EJ9" s="546">
        <v>599</v>
      </c>
      <c r="EK9" s="546">
        <v>603</v>
      </c>
      <c r="EL9" s="546">
        <v>548</v>
      </c>
      <c r="EM9" s="546">
        <v>574</v>
      </c>
      <c r="EN9" s="546">
        <v>660</v>
      </c>
      <c r="EO9" s="546">
        <v>503</v>
      </c>
      <c r="EP9" s="546">
        <v>422</v>
      </c>
      <c r="EQ9" s="546">
        <v>447</v>
      </c>
      <c r="ER9" s="548">
        <v>424</v>
      </c>
      <c r="ES9" s="544"/>
      <c r="ET9" s="544"/>
      <c r="EU9" s="544"/>
    </row>
    <row r="10" spans="1:264" x14ac:dyDescent="0.3">
      <c r="A10" s="469" t="s">
        <v>666</v>
      </c>
      <c r="B10" s="540">
        <v>7.5600003024000122</v>
      </c>
      <c r="C10" s="541">
        <v>6.0660002426400093</v>
      </c>
      <c r="D10" s="541">
        <v>1.5480000619200025</v>
      </c>
      <c r="E10" s="541">
        <v>1.326000053040002</v>
      </c>
      <c r="F10" s="541">
        <v>1.2000000480000019</v>
      </c>
      <c r="G10" s="541">
        <v>2.2680000907200037</v>
      </c>
      <c r="H10" s="541">
        <v>1.1580000463200018</v>
      </c>
      <c r="I10" s="541">
        <v>3.6900001476000059</v>
      </c>
      <c r="J10" s="541">
        <v>3.918000156720006</v>
      </c>
      <c r="K10" s="541">
        <v>0.48000001920000074</v>
      </c>
      <c r="L10" s="541">
        <v>0.72000002880000114</v>
      </c>
      <c r="M10" s="541">
        <v>1.4280000571200022</v>
      </c>
      <c r="N10" s="541">
        <v>5.9700002388000089</v>
      </c>
      <c r="O10" s="541">
        <v>5.0160002006400077</v>
      </c>
      <c r="P10" s="541">
        <v>4.8180001927200076</v>
      </c>
      <c r="Q10" s="541">
        <v>1.7460000698400027</v>
      </c>
      <c r="R10" s="541">
        <v>26.976001079040042</v>
      </c>
      <c r="S10" s="541">
        <v>3.4920001396800053</v>
      </c>
      <c r="T10" s="541">
        <v>25.71000102840004</v>
      </c>
      <c r="U10" s="541">
        <v>4.0620001624800066</v>
      </c>
      <c r="V10" s="541">
        <v>1.878000075120003</v>
      </c>
      <c r="W10" s="541">
        <v>1.5840000633600024</v>
      </c>
      <c r="X10" s="541">
        <v>1.5060000602400023</v>
      </c>
      <c r="Y10" s="541">
        <v>1.6680000667200026</v>
      </c>
      <c r="Z10" s="541">
        <v>0.6120000244800009</v>
      </c>
      <c r="AA10" s="541">
        <v>0.40200001608000063</v>
      </c>
      <c r="AB10" s="541">
        <v>1.260000050400002</v>
      </c>
      <c r="AC10" s="541">
        <v>1.218000048720002</v>
      </c>
      <c r="AD10" s="541">
        <v>60.468002418720097</v>
      </c>
      <c r="AE10" s="541">
        <v>56.724002268960085</v>
      </c>
      <c r="AF10" s="541">
        <v>1.212000048480002</v>
      </c>
      <c r="AG10" s="541">
        <v>0.98400003936000158</v>
      </c>
      <c r="AH10" s="541">
        <v>2.3460000938400039</v>
      </c>
      <c r="AI10" s="541">
        <v>0.90600003624000136</v>
      </c>
      <c r="AJ10" s="541">
        <v>6.7620002704800104</v>
      </c>
      <c r="AK10" s="541">
        <v>5.0520002020800074</v>
      </c>
      <c r="AL10" s="541">
        <v>5.0520002020800074</v>
      </c>
      <c r="AM10" s="541">
        <v>1.0920000436800017</v>
      </c>
      <c r="AN10" s="541">
        <v>1.8000000720000029</v>
      </c>
      <c r="AO10" s="541">
        <v>4.0740001629600062</v>
      </c>
      <c r="AP10" s="541">
        <v>4.4880001795200073</v>
      </c>
      <c r="AQ10" s="541">
        <v>5.5560002222400087</v>
      </c>
      <c r="AR10" s="541">
        <v>7.4520002980800113</v>
      </c>
      <c r="AS10" s="541">
        <v>2.4720000988800037</v>
      </c>
      <c r="AT10" s="541">
        <v>3.7500001500000057</v>
      </c>
      <c r="AU10" s="541">
        <v>1.6380000655200027</v>
      </c>
      <c r="AV10" s="541">
        <v>2.2620000904800035</v>
      </c>
      <c r="AW10" s="541">
        <v>1.1700000468000018</v>
      </c>
      <c r="AX10" s="541">
        <v>0.72000002880000114</v>
      </c>
      <c r="AY10" s="541">
        <v>2.3700000948000035</v>
      </c>
      <c r="AZ10" s="541">
        <v>2.1480000859200032</v>
      </c>
      <c r="BA10" s="541">
        <v>2.8560001142400044</v>
      </c>
      <c r="BB10" s="541">
        <v>6.6420002656800099</v>
      </c>
      <c r="BC10" s="541">
        <v>4.3260001730400068</v>
      </c>
      <c r="BD10" s="541">
        <v>5.6760002270400092</v>
      </c>
      <c r="BE10" s="541">
        <v>2.2860000914400036</v>
      </c>
      <c r="BF10" s="541">
        <v>1.0020000400800015</v>
      </c>
      <c r="BG10" s="541">
        <v>3.3180001327200053</v>
      </c>
      <c r="BH10" s="541">
        <v>2.8620001144800042</v>
      </c>
      <c r="BI10" s="541">
        <v>2.1600000864000033</v>
      </c>
      <c r="BJ10" s="541">
        <v>2.1060000842400033</v>
      </c>
      <c r="BK10" s="541">
        <v>2.1900000876000032</v>
      </c>
      <c r="BL10" s="541">
        <v>6.0420002416800092</v>
      </c>
      <c r="BM10" s="541">
        <v>2.2320000892800036</v>
      </c>
      <c r="BN10" s="541">
        <v>0.55200002208000087</v>
      </c>
      <c r="BO10" s="541">
        <v>0.88200003528000137</v>
      </c>
      <c r="BP10" s="541">
        <v>1.1940000477600019</v>
      </c>
      <c r="BQ10" s="541">
        <v>0.91800003672000141</v>
      </c>
      <c r="BR10" s="541">
        <v>1.7400000696000026</v>
      </c>
      <c r="BS10" s="541">
        <v>4.632000185280007</v>
      </c>
      <c r="BT10" s="541">
        <v>2.9760001190400045</v>
      </c>
      <c r="BU10" s="541">
        <v>0.76800003072000123</v>
      </c>
      <c r="BV10" s="541">
        <v>0.5340000213600008</v>
      </c>
      <c r="BW10" s="541">
        <v>1.2960000518400021</v>
      </c>
      <c r="BX10" s="541">
        <v>1.4640000585600024</v>
      </c>
      <c r="BY10" s="541">
        <v>1.266000050640002</v>
      </c>
      <c r="BZ10" s="541">
        <v>2.3520000940800037</v>
      </c>
      <c r="CA10" s="541">
        <v>2.5620001024800039</v>
      </c>
      <c r="CB10" s="541">
        <v>0.79200003168000122</v>
      </c>
      <c r="CC10" s="541">
        <v>2.0880000835200034</v>
      </c>
      <c r="CD10" s="541">
        <v>5.9640002385600095</v>
      </c>
      <c r="CE10" s="541">
        <v>4.7220001888800072</v>
      </c>
      <c r="CF10" s="541">
        <v>7.5720003028800118</v>
      </c>
      <c r="CG10" s="541">
        <v>5.9640002385600095</v>
      </c>
      <c r="CH10" s="541">
        <v>1.8360000734400028</v>
      </c>
      <c r="CI10" s="541">
        <v>1.6140000645600026</v>
      </c>
      <c r="CJ10" s="541">
        <v>0.90000003600000145</v>
      </c>
      <c r="CK10" s="541">
        <v>1.4400000576000023</v>
      </c>
      <c r="CL10" s="541">
        <v>1.2360000494400019</v>
      </c>
      <c r="CM10" s="541">
        <v>0.79800003192000124</v>
      </c>
      <c r="CN10" s="541">
        <v>0.43800001752000067</v>
      </c>
      <c r="CO10" s="541">
        <v>0.68400002736000109</v>
      </c>
      <c r="CP10" s="541">
        <v>0.72000002880000114</v>
      </c>
      <c r="CQ10" s="541">
        <v>3.6060001442400056</v>
      </c>
      <c r="CR10" s="541">
        <v>0.7620000304800012</v>
      </c>
      <c r="CS10" s="541">
        <v>0.6120000244800009</v>
      </c>
      <c r="CT10" s="541">
        <v>0.49800001992000076</v>
      </c>
      <c r="CU10" s="541">
        <v>0.62400002496000095</v>
      </c>
      <c r="CV10" s="541">
        <v>0.49800001992000076</v>
      </c>
      <c r="CW10" s="541">
        <v>0.54600002184000085</v>
      </c>
      <c r="CX10" s="541">
        <v>1.326000053040002</v>
      </c>
      <c r="CY10" s="541">
        <v>1.326000053040002</v>
      </c>
      <c r="CZ10" s="541">
        <v>3.960000158400006</v>
      </c>
      <c r="DA10" s="541">
        <v>4.266000170640007</v>
      </c>
      <c r="DB10" s="541">
        <v>5.346000213840008</v>
      </c>
      <c r="DC10" s="541">
        <v>5.7540002301600088</v>
      </c>
      <c r="DD10" s="541">
        <v>6.2880002515200095</v>
      </c>
      <c r="DE10" s="541">
        <v>5.2140002085600079</v>
      </c>
      <c r="DF10" s="541">
        <v>4.1760001670400069</v>
      </c>
      <c r="DG10" s="541">
        <v>2.0220000808800029</v>
      </c>
      <c r="DH10" s="541">
        <v>5.6820002272800085</v>
      </c>
      <c r="DI10" s="541">
        <v>0.94200003768000151</v>
      </c>
      <c r="DJ10" s="541">
        <v>1.1160000446400018</v>
      </c>
      <c r="DK10" s="541">
        <v>42.636001705440066</v>
      </c>
      <c r="DL10" s="541">
        <v>20.664000826560031</v>
      </c>
      <c r="DM10" s="541">
        <v>0.72000002880000114</v>
      </c>
      <c r="DN10" s="541">
        <v>1.890000075600003</v>
      </c>
      <c r="DO10" s="541">
        <v>5.346000213840008</v>
      </c>
      <c r="DP10" s="541">
        <v>6.0480002419200094</v>
      </c>
      <c r="DQ10" s="541">
        <v>3.0480001219200048</v>
      </c>
      <c r="DR10" s="541">
        <v>0.73198536029279415</v>
      </c>
      <c r="DS10" s="541">
        <v>3.6719265614687711</v>
      </c>
      <c r="DT10" s="541">
        <v>2.1599568008639829</v>
      </c>
      <c r="DU10" s="541">
        <v>0.7199856002879943</v>
      </c>
      <c r="DV10" s="541">
        <v>1.9439611207775847</v>
      </c>
      <c r="DW10" s="542">
        <v>1.2239755204895904</v>
      </c>
      <c r="DX10" s="541">
        <v>3</v>
      </c>
      <c r="DY10" s="541">
        <v>3</v>
      </c>
      <c r="DZ10" s="541">
        <v>3</v>
      </c>
      <c r="EA10" s="541">
        <v>3</v>
      </c>
      <c r="EB10" s="541">
        <v>3</v>
      </c>
      <c r="EC10" s="541">
        <v>3</v>
      </c>
      <c r="ED10" s="541">
        <v>3</v>
      </c>
      <c r="EE10" s="541">
        <v>3</v>
      </c>
      <c r="EF10" s="541">
        <v>3</v>
      </c>
      <c r="EG10" s="541">
        <v>3</v>
      </c>
      <c r="EH10" s="541">
        <v>3</v>
      </c>
      <c r="EI10" s="541">
        <v>3</v>
      </c>
      <c r="EJ10" s="541">
        <v>3</v>
      </c>
      <c r="EK10" s="541">
        <v>3</v>
      </c>
      <c r="EL10" s="541">
        <v>3</v>
      </c>
      <c r="EM10" s="541">
        <v>3</v>
      </c>
      <c r="EN10" s="541">
        <v>3</v>
      </c>
      <c r="EO10" s="541">
        <v>3</v>
      </c>
      <c r="EP10" s="541">
        <v>3</v>
      </c>
      <c r="EQ10" s="541">
        <v>3</v>
      </c>
      <c r="ER10" s="543">
        <v>3</v>
      </c>
      <c r="ES10" s="544"/>
      <c r="ET10" s="544"/>
      <c r="EU10" s="544"/>
    </row>
    <row r="11" spans="1:264" ht="15" thickBot="1" x14ac:dyDescent="0.35">
      <c r="A11" s="549" t="s">
        <v>117</v>
      </c>
      <c r="B11" s="550">
        <v>2026.5240810609632</v>
      </c>
      <c r="C11" s="551">
        <v>1780.0560712022427</v>
      </c>
      <c r="D11" s="551">
        <v>1715.7900686316027</v>
      </c>
      <c r="E11" s="551">
        <v>1739.8200695928026</v>
      </c>
      <c r="F11" s="551">
        <v>1782.2700712908027</v>
      </c>
      <c r="G11" s="551">
        <v>2008.3140803325632</v>
      </c>
      <c r="H11" s="551">
        <v>2168.6880867475234</v>
      </c>
      <c r="I11" s="551">
        <v>2584.9141033965639</v>
      </c>
      <c r="J11" s="551">
        <v>2943.6121177444847</v>
      </c>
      <c r="K11" s="551">
        <v>3014.3641205745648</v>
      </c>
      <c r="L11" s="551">
        <v>3178.4281271371251</v>
      </c>
      <c r="M11" s="551">
        <v>3192.6421277056847</v>
      </c>
      <c r="N11" s="551">
        <v>3024.2461209698449</v>
      </c>
      <c r="O11" s="551">
        <v>2075.3100830124031</v>
      </c>
      <c r="P11" s="551">
        <v>2234.3640893745633</v>
      </c>
      <c r="Q11" s="551">
        <v>1932.0780772831231</v>
      </c>
      <c r="R11" s="551">
        <v>2158.4940863397633</v>
      </c>
      <c r="S11" s="551">
        <v>2256.1740902469637</v>
      </c>
      <c r="T11" s="551">
        <v>2317.7760927110435</v>
      </c>
      <c r="U11" s="551">
        <v>2577.924103116964</v>
      </c>
      <c r="V11" s="551">
        <v>3065.5321226212845</v>
      </c>
      <c r="W11" s="551">
        <v>2592.1921036876838</v>
      </c>
      <c r="X11" s="551">
        <v>2505.462100218484</v>
      </c>
      <c r="Y11" s="551">
        <v>2709.3301083732044</v>
      </c>
      <c r="Z11" s="551">
        <v>2033.3760813350432</v>
      </c>
      <c r="AA11" s="551">
        <v>3022.5961209038446</v>
      </c>
      <c r="AB11" s="551">
        <v>3907.9981563199262</v>
      </c>
      <c r="AC11" s="551">
        <v>3437.6701375068055</v>
      </c>
      <c r="AD11" s="551">
        <v>3650.2921460116859</v>
      </c>
      <c r="AE11" s="551">
        <v>4131.5581652623268</v>
      </c>
      <c r="AF11" s="551">
        <v>2927.8861171154444</v>
      </c>
      <c r="AG11" s="551">
        <v>3378.1921351276851</v>
      </c>
      <c r="AH11" s="551">
        <v>3021.5641208625648</v>
      </c>
      <c r="AI11" s="551">
        <v>2821.4521128580845</v>
      </c>
      <c r="AJ11" s="551">
        <v>3206.6161282646449</v>
      </c>
      <c r="AK11" s="551">
        <v>2937.4081174963244</v>
      </c>
      <c r="AL11" s="551">
        <v>2377.7700951108036</v>
      </c>
      <c r="AM11" s="551">
        <v>2816.0461126418445</v>
      </c>
      <c r="AN11" s="551">
        <v>2727.8461091138442</v>
      </c>
      <c r="AO11" s="551">
        <v>2912.5981165039248</v>
      </c>
      <c r="AP11" s="551">
        <v>3236.6641294665651</v>
      </c>
      <c r="AQ11" s="551">
        <v>3411.8641364745654</v>
      </c>
      <c r="AR11" s="551">
        <v>3105.8881242355246</v>
      </c>
      <c r="AS11" s="551">
        <v>2452.7100981084036</v>
      </c>
      <c r="AT11" s="551">
        <v>2498.6340999453637</v>
      </c>
      <c r="AU11" s="551">
        <v>2523.408100936324</v>
      </c>
      <c r="AV11" s="551">
        <v>2368.3860947354437</v>
      </c>
      <c r="AW11" s="551">
        <v>1711.1160684446427</v>
      </c>
      <c r="AX11" s="551">
        <v>1864.7820745912829</v>
      </c>
      <c r="AY11" s="551">
        <v>1660.1340664053625</v>
      </c>
      <c r="AZ11" s="551">
        <v>1777.8420711136828</v>
      </c>
      <c r="BA11" s="551">
        <v>1761.8880704755227</v>
      </c>
      <c r="BB11" s="551">
        <v>1984.5000793800032</v>
      </c>
      <c r="BC11" s="551">
        <v>2180.3700872148033</v>
      </c>
      <c r="BD11" s="551">
        <v>2301.2460920498434</v>
      </c>
      <c r="BE11" s="551">
        <v>2493.330099733204</v>
      </c>
      <c r="BF11" s="551">
        <v>2387.8080955123237</v>
      </c>
      <c r="BG11" s="551">
        <v>2542.8541017141638</v>
      </c>
      <c r="BH11" s="551">
        <v>2590.7041036281639</v>
      </c>
      <c r="BI11" s="551">
        <v>2018.0940807237632</v>
      </c>
      <c r="BJ11" s="551">
        <v>2044.5480817819232</v>
      </c>
      <c r="BK11" s="551">
        <v>1824.7500729900028</v>
      </c>
      <c r="BL11" s="551">
        <v>1937.8080775123231</v>
      </c>
      <c r="BM11" s="551">
        <v>2021.5980808639231</v>
      </c>
      <c r="BN11" s="551">
        <v>2113.4400845376031</v>
      </c>
      <c r="BO11" s="551">
        <v>2042.3700816948033</v>
      </c>
      <c r="BP11" s="551">
        <v>2188.3080875323235</v>
      </c>
      <c r="BQ11" s="551">
        <v>2151.6960860678432</v>
      </c>
      <c r="BR11" s="551">
        <v>1861.7400744696029</v>
      </c>
      <c r="BS11" s="551">
        <v>2105.0100842004031</v>
      </c>
      <c r="BT11" s="551">
        <v>1590.9000636360024</v>
      </c>
      <c r="BU11" s="551">
        <v>1342.8180537127221</v>
      </c>
      <c r="BV11" s="551">
        <v>1166.5020466600818</v>
      </c>
      <c r="BW11" s="551">
        <v>1027.9440411177616</v>
      </c>
      <c r="BX11" s="551">
        <v>1004.8500401940015</v>
      </c>
      <c r="BY11" s="551">
        <v>972.01203888048155</v>
      </c>
      <c r="BZ11" s="551">
        <v>936.42003745680142</v>
      </c>
      <c r="CA11" s="551">
        <v>856.56603426264132</v>
      </c>
      <c r="CB11" s="551">
        <v>827.36403309456125</v>
      </c>
      <c r="CC11" s="551">
        <v>919.03203676128146</v>
      </c>
      <c r="CD11" s="551">
        <v>864.54603458184135</v>
      </c>
      <c r="CE11" s="551">
        <v>1105.3260442130418</v>
      </c>
      <c r="CF11" s="551">
        <v>1356.3000542520022</v>
      </c>
      <c r="CG11" s="551">
        <v>1371.7620548704822</v>
      </c>
      <c r="CH11" s="551">
        <v>1225.896049035842</v>
      </c>
      <c r="CI11" s="551">
        <v>1242.9960497198419</v>
      </c>
      <c r="CJ11" s="551">
        <v>1295.928051837122</v>
      </c>
      <c r="CK11" s="551">
        <v>1322.2740528909621</v>
      </c>
      <c r="CL11" s="551">
        <v>1428.3060571322421</v>
      </c>
      <c r="CM11" s="551">
        <v>1465.5420586216824</v>
      </c>
      <c r="CN11" s="551">
        <v>1345.6980538279222</v>
      </c>
      <c r="CO11" s="551">
        <v>1298.6820519472819</v>
      </c>
      <c r="CP11" s="551">
        <v>1265.1540506061619</v>
      </c>
      <c r="CQ11" s="551">
        <v>1311.8340524733621</v>
      </c>
      <c r="CR11" s="551">
        <v>1146.6360458654417</v>
      </c>
      <c r="CS11" s="551">
        <v>1001.7180400687215</v>
      </c>
      <c r="CT11" s="551">
        <v>919.44003677760145</v>
      </c>
      <c r="CU11" s="551">
        <v>965.65203862608155</v>
      </c>
      <c r="CV11" s="551">
        <v>1170.7500468300018</v>
      </c>
      <c r="CW11" s="551">
        <v>1037.6520415060816</v>
      </c>
      <c r="CX11" s="551">
        <v>1336.9260534770422</v>
      </c>
      <c r="CY11" s="551">
        <v>1112.3160444926418</v>
      </c>
      <c r="CZ11" s="551">
        <v>1294.6680517867221</v>
      </c>
      <c r="DA11" s="551">
        <v>1122.5760449030417</v>
      </c>
      <c r="DB11" s="551">
        <v>1313.9580525583222</v>
      </c>
      <c r="DC11" s="551">
        <v>1408.5540563421621</v>
      </c>
      <c r="DD11" s="551">
        <v>1311.4440524577619</v>
      </c>
      <c r="DE11" s="551">
        <v>1081.7280432691216</v>
      </c>
      <c r="DF11" s="551">
        <v>1451.3700580548023</v>
      </c>
      <c r="DG11" s="551">
        <v>1016.6880406675216</v>
      </c>
      <c r="DH11" s="551">
        <v>1273.650050946002</v>
      </c>
      <c r="DI11" s="551">
        <v>1192.7760477110419</v>
      </c>
      <c r="DJ11" s="551">
        <v>1104.9480441979217</v>
      </c>
      <c r="DK11" s="551">
        <v>1278.330051133202</v>
      </c>
      <c r="DL11" s="551">
        <v>1220.682048827282</v>
      </c>
      <c r="DM11" s="551">
        <v>1241.7720496708819</v>
      </c>
      <c r="DN11" s="551">
        <v>1266.4740506589619</v>
      </c>
      <c r="DO11" s="551">
        <v>1513.9740605589623</v>
      </c>
      <c r="DP11" s="551">
        <v>1501.3260600530423</v>
      </c>
      <c r="DQ11" s="551">
        <v>1162.3020464920819</v>
      </c>
      <c r="DR11" s="551">
        <v>1169.1366172676549</v>
      </c>
      <c r="DS11" s="551">
        <v>1060.8747825043502</v>
      </c>
      <c r="DT11" s="551">
        <v>1230.7733845323094</v>
      </c>
      <c r="DU11" s="551">
        <v>750.02099958000838</v>
      </c>
      <c r="DV11" s="551">
        <v>824.40151196976069</v>
      </c>
      <c r="DW11" s="552">
        <v>819.81760364792717</v>
      </c>
      <c r="DX11" s="551">
        <v>1007</v>
      </c>
      <c r="DY11" s="551">
        <v>1155</v>
      </c>
      <c r="DZ11" s="551">
        <v>1135</v>
      </c>
      <c r="EA11" s="551">
        <v>1149</v>
      </c>
      <c r="EB11" s="551">
        <v>1099</v>
      </c>
      <c r="EC11" s="551">
        <v>1063</v>
      </c>
      <c r="ED11" s="551">
        <v>1039</v>
      </c>
      <c r="EE11" s="551">
        <v>1104</v>
      </c>
      <c r="EF11" s="551">
        <v>1223</v>
      </c>
      <c r="EG11" s="551">
        <v>1166</v>
      </c>
      <c r="EH11" s="551">
        <v>1160</v>
      </c>
      <c r="EI11" s="551">
        <v>1208</v>
      </c>
      <c r="EJ11" s="551">
        <v>1315</v>
      </c>
      <c r="EK11" s="551">
        <v>1328</v>
      </c>
      <c r="EL11" s="551">
        <v>1306</v>
      </c>
      <c r="EM11" s="551">
        <v>1292</v>
      </c>
      <c r="EN11" s="551">
        <v>1404</v>
      </c>
      <c r="EO11" s="551">
        <v>1237</v>
      </c>
      <c r="EP11" s="551">
        <v>1066</v>
      </c>
      <c r="EQ11" s="551">
        <v>1253</v>
      </c>
      <c r="ER11" s="553">
        <v>1162</v>
      </c>
      <c r="ES11" s="544"/>
      <c r="ET11" s="544"/>
      <c r="EU11" s="544"/>
    </row>
    <row r="12" spans="1:264" s="556" customFormat="1" ht="15" customHeight="1" x14ac:dyDescent="0.2">
      <c r="A12" s="554"/>
      <c r="B12" s="555"/>
      <c r="C12" s="555"/>
      <c r="D12" s="555"/>
      <c r="E12" s="555"/>
      <c r="F12" s="555"/>
      <c r="G12" s="555"/>
      <c r="H12" s="555"/>
      <c r="I12" s="555"/>
      <c r="J12" s="555"/>
      <c r="K12" s="555"/>
      <c r="L12" s="555"/>
      <c r="M12" s="555"/>
      <c r="N12" s="555"/>
      <c r="O12" s="555"/>
      <c r="P12" s="555"/>
      <c r="Q12" s="555"/>
      <c r="R12" s="555"/>
      <c r="S12" s="555"/>
      <c r="T12" s="555"/>
      <c r="U12" s="555"/>
      <c r="V12" s="555"/>
      <c r="W12" s="555"/>
      <c r="X12" s="555"/>
      <c r="Y12" s="555"/>
      <c r="Z12" s="555"/>
      <c r="AA12" s="555"/>
      <c r="AB12" s="555"/>
      <c r="AC12" s="555"/>
      <c r="AD12" s="555"/>
      <c r="AE12" s="555"/>
      <c r="AF12" s="555"/>
      <c r="AG12" s="555"/>
      <c r="AH12" s="555"/>
      <c r="AI12" s="555"/>
      <c r="AJ12" s="555"/>
      <c r="AK12" s="555"/>
      <c r="AL12" s="555"/>
      <c r="AM12" s="555"/>
      <c r="AN12" s="555"/>
      <c r="AO12" s="555"/>
      <c r="AP12" s="555"/>
      <c r="AQ12" s="555"/>
      <c r="AR12" s="555"/>
      <c r="AS12" s="555"/>
      <c r="AT12" s="555"/>
      <c r="AU12" s="555"/>
      <c r="AV12" s="555"/>
      <c r="AW12" s="555"/>
      <c r="AX12" s="555"/>
      <c r="AY12" s="555"/>
      <c r="AZ12" s="555"/>
      <c r="BA12" s="555"/>
      <c r="BB12" s="555"/>
      <c r="BC12" s="555"/>
      <c r="BD12" s="555"/>
      <c r="BE12" s="555"/>
      <c r="BF12" s="555"/>
      <c r="BG12" s="555"/>
      <c r="BH12" s="555"/>
      <c r="BI12" s="555"/>
      <c r="BJ12" s="555"/>
      <c r="BK12" s="555"/>
      <c r="BL12" s="555"/>
      <c r="BM12" s="555"/>
      <c r="BN12" s="555"/>
      <c r="BO12" s="555"/>
      <c r="BP12" s="555"/>
      <c r="BQ12" s="555"/>
      <c r="BR12" s="555"/>
      <c r="BS12" s="555"/>
      <c r="BT12" s="555"/>
      <c r="BU12" s="555"/>
      <c r="BV12" s="555"/>
      <c r="BW12" s="555"/>
      <c r="BX12" s="555"/>
      <c r="BY12" s="555"/>
      <c r="BZ12" s="555"/>
      <c r="CA12" s="555"/>
      <c r="CB12" s="555"/>
      <c r="CC12" s="555"/>
      <c r="CD12" s="555"/>
      <c r="CE12" s="555"/>
      <c r="CF12" s="555"/>
      <c r="CG12" s="555"/>
      <c r="CH12" s="555"/>
      <c r="CI12" s="555"/>
      <c r="CJ12" s="555"/>
      <c r="CK12" s="555"/>
      <c r="CL12" s="555"/>
      <c r="CM12" s="555"/>
      <c r="CN12" s="555"/>
      <c r="CO12" s="555"/>
      <c r="CP12" s="555"/>
      <c r="CQ12" s="555"/>
      <c r="CR12" s="555"/>
      <c r="CS12" s="555"/>
      <c r="CT12" s="555"/>
      <c r="CU12" s="555"/>
      <c r="CV12" s="555"/>
      <c r="CW12" s="555"/>
      <c r="CX12" s="555"/>
      <c r="CY12" s="555"/>
      <c r="CZ12" s="555"/>
      <c r="DA12" s="555"/>
      <c r="DB12" s="555"/>
      <c r="DC12" s="555"/>
      <c r="DD12" s="555"/>
      <c r="DE12" s="555"/>
      <c r="DF12" s="555"/>
      <c r="DG12" s="555"/>
      <c r="DH12" s="555"/>
      <c r="DI12" s="555"/>
      <c r="DJ12" s="555"/>
      <c r="DK12" s="555"/>
      <c r="DL12" s="555"/>
      <c r="DM12" s="555"/>
      <c r="DN12" s="555"/>
      <c r="DO12" s="555"/>
      <c r="DP12" s="555"/>
      <c r="DQ12" s="555"/>
      <c r="DR12" s="555"/>
      <c r="DS12" s="555"/>
      <c r="DT12" s="555"/>
      <c r="DU12" s="555"/>
      <c r="DV12" s="555"/>
      <c r="DW12" s="555"/>
      <c r="DX12" s="555"/>
      <c r="DY12" s="555"/>
      <c r="DZ12" s="555"/>
      <c r="EA12" s="555"/>
      <c r="EB12" s="555"/>
      <c r="EC12" s="555"/>
      <c r="ED12" s="555"/>
      <c r="EE12" s="555"/>
      <c r="EF12" s="555"/>
      <c r="EG12" s="555"/>
      <c r="EH12" s="555"/>
      <c r="EI12" s="555"/>
    </row>
    <row r="15" spans="1:264" s="558" customFormat="1" x14ac:dyDescent="0.3">
      <c r="A15" s="557"/>
    </row>
    <row r="16" spans="1:264" s="558" customFormat="1" x14ac:dyDescent="0.3">
      <c r="A16" s="559"/>
    </row>
    <row r="17" spans="1:139" s="558" customFormat="1" x14ac:dyDescent="0.3">
      <c r="A17" s="559"/>
    </row>
    <row r="18" spans="1:139" s="558" customFormat="1" x14ac:dyDescent="0.3">
      <c r="A18" s="559"/>
    </row>
    <row r="26" spans="1:139" x14ac:dyDescent="0.3">
      <c r="A26" s="4"/>
    </row>
    <row r="27" spans="1:139" x14ac:dyDescent="0.3">
      <c r="A27" s="560"/>
      <c r="B27" s="561"/>
      <c r="C27" s="561"/>
      <c r="D27" s="561"/>
      <c r="E27" s="561"/>
      <c r="F27" s="561"/>
      <c r="G27" s="561"/>
      <c r="H27" s="561"/>
      <c r="I27" s="561"/>
      <c r="J27" s="561"/>
      <c r="K27" s="561"/>
      <c r="L27" s="561"/>
      <c r="M27" s="561"/>
      <c r="N27" s="561"/>
      <c r="O27" s="561"/>
      <c r="P27" s="561"/>
      <c r="Q27" s="561"/>
      <c r="R27" s="561"/>
      <c r="S27" s="561"/>
      <c r="T27" s="561"/>
      <c r="U27" s="561"/>
      <c r="V27" s="561"/>
      <c r="W27" s="561"/>
      <c r="X27" s="561"/>
      <c r="Y27" s="561"/>
      <c r="Z27" s="561"/>
      <c r="AA27" s="561"/>
      <c r="AB27" s="561"/>
      <c r="AC27" s="561"/>
      <c r="AD27" s="561"/>
      <c r="AE27" s="561"/>
      <c r="AF27" s="561"/>
      <c r="AG27" s="561"/>
      <c r="AH27" s="561"/>
      <c r="AI27" s="561"/>
      <c r="AJ27" s="561"/>
      <c r="AK27" s="561"/>
      <c r="AL27" s="561"/>
      <c r="AM27" s="561"/>
      <c r="AN27" s="561"/>
      <c r="AO27" s="561"/>
      <c r="AP27" s="561"/>
      <c r="AQ27" s="561"/>
      <c r="AR27" s="561"/>
      <c r="AS27" s="561"/>
      <c r="AT27" s="561"/>
      <c r="AU27" s="561"/>
      <c r="AV27" s="561"/>
      <c r="AW27" s="561"/>
      <c r="AX27" s="561"/>
      <c r="AY27" s="561"/>
      <c r="AZ27" s="561"/>
      <c r="BA27" s="561"/>
      <c r="BB27" s="561"/>
      <c r="BC27" s="561"/>
      <c r="BD27" s="561"/>
      <c r="BE27" s="561"/>
      <c r="BF27" s="561"/>
      <c r="BG27" s="561"/>
      <c r="BH27" s="561"/>
      <c r="BI27" s="561"/>
      <c r="BJ27" s="561"/>
      <c r="BK27" s="561"/>
      <c r="BL27" s="561"/>
      <c r="BM27" s="561"/>
      <c r="BN27" s="561"/>
      <c r="BO27" s="561"/>
      <c r="BP27" s="561"/>
      <c r="BQ27" s="561"/>
      <c r="BR27" s="561"/>
      <c r="BS27" s="561"/>
      <c r="BT27" s="561"/>
      <c r="BU27" s="561"/>
      <c r="BV27" s="561"/>
      <c r="BW27" s="561"/>
      <c r="BX27" s="561"/>
      <c r="BY27" s="561"/>
      <c r="BZ27" s="561"/>
      <c r="CA27" s="561"/>
      <c r="CB27" s="561"/>
      <c r="CC27" s="561"/>
      <c r="CD27" s="561"/>
      <c r="CE27" s="561"/>
      <c r="CF27" s="561"/>
      <c r="CG27" s="561"/>
      <c r="CH27" s="561"/>
      <c r="CI27" s="561"/>
      <c r="CJ27" s="561"/>
      <c r="CK27" s="561"/>
      <c r="CL27" s="561"/>
      <c r="CM27" s="561"/>
      <c r="CN27" s="561"/>
      <c r="CO27" s="561"/>
      <c r="CP27" s="561"/>
      <c r="CQ27" s="561"/>
      <c r="CR27" s="561"/>
      <c r="CS27" s="561"/>
      <c r="CT27" s="561"/>
      <c r="CU27" s="561"/>
      <c r="CV27" s="561"/>
      <c r="CW27" s="561"/>
      <c r="CX27" s="561"/>
      <c r="CY27" s="561"/>
      <c r="CZ27" s="561"/>
      <c r="DA27" s="561"/>
      <c r="DB27" s="561"/>
      <c r="DC27" s="561"/>
      <c r="DD27" s="561"/>
      <c r="DE27" s="561"/>
      <c r="DF27" s="561"/>
      <c r="DG27" s="561"/>
      <c r="DH27" s="561"/>
      <c r="DI27" s="561"/>
      <c r="DJ27" s="561"/>
      <c r="DK27" s="561"/>
      <c r="DL27" s="561"/>
      <c r="DM27" s="561"/>
      <c r="DN27" s="561"/>
      <c r="DO27" s="561"/>
      <c r="DP27" s="561"/>
      <c r="DQ27" s="561"/>
      <c r="DR27" s="561"/>
      <c r="DS27" s="561"/>
      <c r="DT27" s="561"/>
      <c r="DU27" s="561"/>
      <c r="DV27" s="561"/>
      <c r="DW27" s="561"/>
      <c r="DX27" s="561"/>
      <c r="DY27" s="561"/>
      <c r="DZ27" s="561"/>
      <c r="EA27" s="561"/>
      <c r="EB27" s="561"/>
      <c r="EC27" s="561"/>
      <c r="ED27" s="561"/>
      <c r="EE27" s="561"/>
      <c r="EF27" s="561"/>
      <c r="EG27" s="561"/>
      <c r="EH27" s="561"/>
      <c r="EI27" s="561"/>
    </row>
    <row r="28" spans="1:139" x14ac:dyDescent="0.3">
      <c r="A28" s="562"/>
      <c r="B28" s="541"/>
      <c r="C28" s="541"/>
      <c r="D28" s="541"/>
      <c r="E28" s="541"/>
      <c r="F28" s="541"/>
      <c r="G28" s="541"/>
      <c r="H28" s="541"/>
      <c r="I28" s="541"/>
      <c r="J28" s="541"/>
      <c r="K28" s="541"/>
      <c r="L28" s="541"/>
      <c r="M28" s="541"/>
      <c r="N28" s="541"/>
      <c r="O28" s="541"/>
      <c r="P28" s="541"/>
      <c r="Q28" s="541"/>
      <c r="R28" s="541"/>
      <c r="S28" s="541"/>
      <c r="T28" s="541"/>
      <c r="U28" s="541"/>
      <c r="V28" s="541"/>
      <c r="W28" s="541"/>
      <c r="X28" s="541"/>
      <c r="Y28" s="541"/>
      <c r="Z28" s="541"/>
      <c r="AA28" s="541"/>
      <c r="AB28" s="541"/>
      <c r="AC28" s="541"/>
      <c r="AD28" s="541"/>
      <c r="AE28" s="541"/>
      <c r="AF28" s="541"/>
      <c r="AG28" s="541"/>
      <c r="AH28" s="541"/>
      <c r="AI28" s="541"/>
      <c r="AJ28" s="541"/>
      <c r="AK28" s="541"/>
      <c r="AL28" s="541"/>
      <c r="AM28" s="541"/>
      <c r="AN28" s="541"/>
      <c r="AO28" s="541"/>
      <c r="AP28" s="541"/>
      <c r="AQ28" s="541"/>
      <c r="AR28" s="541"/>
      <c r="AS28" s="541"/>
      <c r="AT28" s="541"/>
      <c r="AU28" s="541"/>
      <c r="AV28" s="541"/>
      <c r="AW28" s="541"/>
      <c r="AX28" s="541"/>
      <c r="AY28" s="541"/>
      <c r="AZ28" s="541"/>
      <c r="BA28" s="541"/>
      <c r="BB28" s="541"/>
      <c r="BC28" s="541"/>
      <c r="BD28" s="541"/>
      <c r="BE28" s="541"/>
      <c r="BF28" s="541"/>
      <c r="BG28" s="541"/>
      <c r="BH28" s="541"/>
      <c r="BI28" s="541"/>
      <c r="BJ28" s="541"/>
      <c r="BK28" s="541"/>
      <c r="BL28" s="541"/>
      <c r="BM28" s="541"/>
      <c r="BN28" s="541"/>
      <c r="BO28" s="541"/>
      <c r="BP28" s="541"/>
      <c r="BQ28" s="541"/>
      <c r="BR28" s="541"/>
      <c r="BS28" s="541"/>
      <c r="BT28" s="541"/>
      <c r="BU28" s="541"/>
      <c r="BV28" s="541"/>
      <c r="BW28" s="541"/>
      <c r="BX28" s="541"/>
      <c r="BY28" s="541"/>
      <c r="BZ28" s="541"/>
      <c r="CA28" s="541"/>
      <c r="CB28" s="541"/>
      <c r="CC28" s="541"/>
      <c r="CD28" s="541"/>
      <c r="CE28" s="541"/>
      <c r="CF28" s="541"/>
      <c r="CG28" s="541"/>
      <c r="CH28" s="541"/>
      <c r="CI28" s="541"/>
      <c r="CJ28" s="541"/>
      <c r="CK28" s="541"/>
      <c r="CL28" s="541"/>
      <c r="CM28" s="541"/>
      <c r="CN28" s="541"/>
      <c r="CO28" s="541"/>
      <c r="CP28" s="541"/>
      <c r="CQ28" s="541"/>
      <c r="CR28" s="541"/>
      <c r="CS28" s="541"/>
      <c r="CT28" s="541"/>
      <c r="CU28" s="541"/>
      <c r="CV28" s="541"/>
      <c r="CW28" s="541"/>
      <c r="CX28" s="541"/>
      <c r="CY28" s="541"/>
      <c r="CZ28" s="541"/>
      <c r="DA28" s="541"/>
      <c r="DB28" s="541"/>
      <c r="DC28" s="541"/>
      <c r="DD28" s="541"/>
      <c r="DE28" s="541"/>
      <c r="DF28" s="541"/>
      <c r="DG28" s="541"/>
      <c r="DH28" s="541"/>
      <c r="DI28" s="541"/>
      <c r="DJ28" s="541"/>
      <c r="DK28" s="541"/>
      <c r="DL28" s="541"/>
      <c r="DM28" s="541"/>
      <c r="DN28" s="541"/>
      <c r="DO28" s="541"/>
      <c r="DP28" s="541"/>
      <c r="DQ28" s="541"/>
      <c r="DR28" s="541"/>
      <c r="DS28" s="541"/>
      <c r="DT28" s="541"/>
      <c r="DU28" s="541"/>
      <c r="DV28" s="541"/>
      <c r="DW28" s="541"/>
      <c r="DX28" s="541"/>
      <c r="DY28" s="541"/>
      <c r="DZ28" s="541"/>
      <c r="EA28" s="541"/>
      <c r="EB28" s="541"/>
      <c r="EC28" s="541"/>
      <c r="ED28" s="541"/>
      <c r="EE28" s="541"/>
      <c r="EF28" s="541"/>
      <c r="EG28" s="541"/>
      <c r="EH28" s="541"/>
      <c r="EI28" s="541"/>
    </row>
    <row r="29" spans="1:139" x14ac:dyDescent="0.3">
      <c r="A29" s="562"/>
      <c r="B29" s="541"/>
      <c r="C29" s="541"/>
      <c r="D29" s="541"/>
      <c r="E29" s="541"/>
      <c r="F29" s="541"/>
      <c r="G29" s="541"/>
      <c r="H29" s="541"/>
      <c r="I29" s="541"/>
      <c r="J29" s="541"/>
      <c r="K29" s="541"/>
      <c r="L29" s="541"/>
      <c r="M29" s="541"/>
      <c r="N29" s="541"/>
      <c r="O29" s="541"/>
      <c r="P29" s="541"/>
      <c r="Q29" s="541"/>
      <c r="R29" s="541"/>
      <c r="S29" s="541"/>
      <c r="T29" s="541"/>
      <c r="U29" s="541"/>
      <c r="V29" s="541"/>
      <c r="W29" s="541"/>
      <c r="X29" s="541"/>
      <c r="Y29" s="541"/>
      <c r="Z29" s="541"/>
      <c r="AA29" s="541"/>
      <c r="AB29" s="541"/>
      <c r="AC29" s="541"/>
      <c r="AD29" s="541"/>
      <c r="AE29" s="541"/>
      <c r="AF29" s="541"/>
      <c r="AG29" s="541"/>
      <c r="AH29" s="541"/>
      <c r="AI29" s="541"/>
      <c r="AJ29" s="541"/>
      <c r="AK29" s="541"/>
      <c r="AL29" s="541"/>
      <c r="AM29" s="541"/>
      <c r="AN29" s="541"/>
      <c r="AO29" s="541"/>
      <c r="AP29" s="541"/>
      <c r="AQ29" s="541"/>
      <c r="AR29" s="541"/>
      <c r="AS29" s="541"/>
      <c r="AT29" s="541"/>
      <c r="AU29" s="541"/>
      <c r="AV29" s="541"/>
      <c r="AW29" s="541"/>
      <c r="AX29" s="541"/>
      <c r="AY29" s="541"/>
      <c r="AZ29" s="541"/>
      <c r="BA29" s="541"/>
      <c r="BB29" s="541"/>
      <c r="BC29" s="541"/>
      <c r="BD29" s="541"/>
      <c r="BE29" s="541"/>
      <c r="BF29" s="541"/>
      <c r="BG29" s="541"/>
      <c r="BH29" s="541"/>
      <c r="BI29" s="541"/>
      <c r="BJ29" s="541"/>
      <c r="BK29" s="541"/>
      <c r="BL29" s="541"/>
      <c r="BM29" s="541"/>
      <c r="BN29" s="541"/>
      <c r="BO29" s="541"/>
      <c r="BP29" s="541"/>
      <c r="BQ29" s="541"/>
      <c r="BR29" s="541"/>
      <c r="BS29" s="541"/>
      <c r="BT29" s="541"/>
      <c r="BU29" s="541"/>
      <c r="BV29" s="541"/>
      <c r="BW29" s="541"/>
      <c r="BX29" s="541"/>
      <c r="BY29" s="541"/>
      <c r="BZ29" s="541"/>
      <c r="CA29" s="541"/>
      <c r="CB29" s="541"/>
      <c r="CC29" s="541"/>
      <c r="CD29" s="541"/>
      <c r="CE29" s="541"/>
      <c r="CF29" s="541"/>
      <c r="CG29" s="541"/>
      <c r="CH29" s="541"/>
      <c r="CI29" s="541"/>
      <c r="CJ29" s="541"/>
      <c r="CK29" s="541"/>
      <c r="CL29" s="541"/>
      <c r="CM29" s="541"/>
      <c r="CN29" s="541"/>
      <c r="CO29" s="541"/>
      <c r="CP29" s="541"/>
      <c r="CQ29" s="541"/>
      <c r="CR29" s="541"/>
      <c r="CS29" s="541"/>
      <c r="CT29" s="541"/>
      <c r="CU29" s="541"/>
      <c r="CV29" s="541"/>
      <c r="CW29" s="541"/>
      <c r="CX29" s="541"/>
      <c r="CY29" s="541"/>
      <c r="CZ29" s="541"/>
      <c r="DA29" s="541"/>
      <c r="DB29" s="541"/>
      <c r="DC29" s="541"/>
      <c r="DD29" s="541"/>
      <c r="DE29" s="541"/>
      <c r="DF29" s="541"/>
      <c r="DG29" s="541"/>
      <c r="DH29" s="541"/>
      <c r="DI29" s="541"/>
      <c r="DJ29" s="541"/>
      <c r="DK29" s="541"/>
      <c r="DL29" s="541"/>
      <c r="DM29" s="541"/>
      <c r="DN29" s="541"/>
      <c r="DO29" s="541"/>
      <c r="DP29" s="541"/>
      <c r="DQ29" s="541"/>
      <c r="DR29" s="541"/>
      <c r="DS29" s="541"/>
      <c r="DT29" s="541"/>
      <c r="DU29" s="541"/>
      <c r="DV29" s="541"/>
      <c r="DW29" s="541"/>
      <c r="DX29" s="541"/>
      <c r="DY29" s="541"/>
      <c r="DZ29" s="541"/>
      <c r="EA29" s="541"/>
      <c r="EB29" s="541"/>
      <c r="EC29" s="541"/>
      <c r="ED29" s="541"/>
      <c r="EE29" s="541"/>
      <c r="EF29" s="541"/>
      <c r="EG29" s="541"/>
      <c r="EH29" s="541"/>
      <c r="EI29" s="541"/>
    </row>
    <row r="30" spans="1:139" x14ac:dyDescent="0.3">
      <c r="A30" s="562"/>
      <c r="B30" s="541"/>
      <c r="C30" s="541"/>
      <c r="D30" s="541"/>
      <c r="E30" s="541"/>
      <c r="F30" s="541"/>
      <c r="G30" s="541"/>
      <c r="H30" s="541"/>
      <c r="I30" s="541"/>
      <c r="J30" s="541"/>
      <c r="K30" s="541"/>
      <c r="L30" s="541"/>
      <c r="M30" s="541"/>
      <c r="N30" s="541"/>
      <c r="O30" s="541"/>
      <c r="P30" s="541"/>
      <c r="Q30" s="541"/>
      <c r="R30" s="541"/>
      <c r="S30" s="541"/>
      <c r="T30" s="541"/>
      <c r="U30" s="541"/>
      <c r="V30" s="541"/>
      <c r="W30" s="541"/>
      <c r="X30" s="541"/>
      <c r="Y30" s="541"/>
      <c r="Z30" s="541"/>
      <c r="AA30" s="541"/>
      <c r="AB30" s="541"/>
      <c r="AC30" s="541"/>
      <c r="AD30" s="541"/>
      <c r="AE30" s="541"/>
      <c r="AF30" s="541"/>
      <c r="AG30" s="541"/>
      <c r="AH30" s="541"/>
      <c r="AI30" s="541"/>
      <c r="AJ30" s="541"/>
      <c r="AK30" s="541"/>
      <c r="AL30" s="541"/>
      <c r="AM30" s="541"/>
      <c r="AN30" s="541"/>
      <c r="AO30" s="541"/>
      <c r="AP30" s="541"/>
      <c r="AQ30" s="541"/>
      <c r="AR30" s="541"/>
      <c r="AS30" s="541"/>
      <c r="AT30" s="541"/>
      <c r="AU30" s="541"/>
      <c r="AV30" s="541"/>
      <c r="AW30" s="541"/>
      <c r="AX30" s="541"/>
      <c r="AY30" s="541"/>
      <c r="AZ30" s="541"/>
      <c r="BA30" s="541"/>
      <c r="BB30" s="541"/>
      <c r="BC30" s="541"/>
      <c r="BD30" s="541"/>
      <c r="BE30" s="541"/>
      <c r="BF30" s="541"/>
      <c r="BG30" s="541"/>
      <c r="BH30" s="541"/>
      <c r="BI30" s="541"/>
      <c r="BJ30" s="541"/>
      <c r="BK30" s="541"/>
      <c r="BL30" s="541"/>
      <c r="BM30" s="541"/>
      <c r="BN30" s="541"/>
      <c r="BO30" s="541"/>
      <c r="BP30" s="541"/>
      <c r="BQ30" s="541"/>
      <c r="BR30" s="541"/>
      <c r="BS30" s="541"/>
      <c r="BT30" s="541"/>
      <c r="BU30" s="541"/>
      <c r="BV30" s="541"/>
      <c r="BW30" s="541"/>
      <c r="BX30" s="541"/>
      <c r="BY30" s="541"/>
      <c r="BZ30" s="541"/>
      <c r="CA30" s="541"/>
      <c r="CB30" s="541"/>
      <c r="CC30" s="541"/>
      <c r="CD30" s="541"/>
      <c r="CE30" s="541"/>
      <c r="CF30" s="541"/>
      <c r="CG30" s="541"/>
      <c r="CH30" s="541"/>
      <c r="CI30" s="541"/>
      <c r="CJ30" s="541"/>
      <c r="CK30" s="541"/>
      <c r="CL30" s="541"/>
      <c r="CM30" s="541"/>
      <c r="CN30" s="541"/>
      <c r="CO30" s="541"/>
      <c r="CP30" s="541"/>
      <c r="CQ30" s="541"/>
      <c r="CR30" s="541"/>
      <c r="CS30" s="541"/>
      <c r="CT30" s="541"/>
      <c r="CU30" s="541"/>
      <c r="CV30" s="541"/>
      <c r="CW30" s="541"/>
      <c r="CX30" s="541"/>
      <c r="CY30" s="541"/>
      <c r="CZ30" s="541"/>
      <c r="DA30" s="541"/>
      <c r="DB30" s="541"/>
      <c r="DC30" s="541"/>
      <c r="DD30" s="541"/>
      <c r="DE30" s="541"/>
      <c r="DF30" s="541"/>
      <c r="DG30" s="541"/>
      <c r="DH30" s="541"/>
      <c r="DI30" s="541"/>
      <c r="DJ30" s="541"/>
      <c r="DK30" s="541"/>
      <c r="DL30" s="541"/>
      <c r="DM30" s="541"/>
      <c r="DN30" s="541"/>
      <c r="DO30" s="541"/>
      <c r="DP30" s="541"/>
      <c r="DQ30" s="541"/>
      <c r="DR30" s="541"/>
      <c r="DS30" s="541"/>
      <c r="DT30" s="541"/>
      <c r="DU30" s="541"/>
      <c r="DV30" s="541"/>
      <c r="DW30" s="541"/>
      <c r="DX30" s="541"/>
      <c r="DY30" s="541"/>
      <c r="DZ30" s="541"/>
      <c r="EA30" s="541"/>
      <c r="EB30" s="541"/>
      <c r="EC30" s="541"/>
      <c r="ED30" s="541"/>
      <c r="EE30" s="541"/>
      <c r="EF30" s="541"/>
      <c r="EG30" s="541"/>
      <c r="EH30" s="541"/>
      <c r="EI30" s="541"/>
    </row>
    <row r="31" spans="1:139" x14ac:dyDescent="0.3">
      <c r="A31" s="560"/>
      <c r="B31" s="541"/>
      <c r="C31" s="541"/>
      <c r="D31" s="541"/>
      <c r="E31" s="541"/>
      <c r="F31" s="541"/>
      <c r="G31" s="541"/>
      <c r="H31" s="541"/>
      <c r="I31" s="541"/>
      <c r="J31" s="541"/>
      <c r="K31" s="541"/>
      <c r="L31" s="541"/>
      <c r="M31" s="541"/>
      <c r="N31" s="541"/>
      <c r="O31" s="541"/>
      <c r="P31" s="541"/>
      <c r="Q31" s="541"/>
      <c r="R31" s="541"/>
      <c r="S31" s="541"/>
      <c r="T31" s="541"/>
      <c r="U31" s="541"/>
      <c r="V31" s="541"/>
      <c r="W31" s="541"/>
      <c r="X31" s="541"/>
      <c r="Y31" s="541"/>
      <c r="Z31" s="541"/>
      <c r="AA31" s="541"/>
      <c r="AB31" s="541"/>
      <c r="AC31" s="541"/>
      <c r="AD31" s="541"/>
      <c r="AE31" s="541"/>
      <c r="AF31" s="541"/>
      <c r="AG31" s="541"/>
      <c r="AH31" s="541"/>
      <c r="AI31" s="541"/>
      <c r="AJ31" s="541"/>
      <c r="AK31" s="541"/>
      <c r="AL31" s="541"/>
      <c r="AM31" s="541"/>
      <c r="AN31" s="541"/>
      <c r="AO31" s="541"/>
      <c r="AP31" s="541"/>
      <c r="AQ31" s="541"/>
      <c r="AR31" s="541"/>
      <c r="AS31" s="541"/>
      <c r="AT31" s="541"/>
      <c r="AU31" s="541"/>
      <c r="AV31" s="541"/>
      <c r="AW31" s="541"/>
      <c r="AX31" s="541"/>
      <c r="AY31" s="541"/>
      <c r="AZ31" s="541"/>
      <c r="BA31" s="541"/>
      <c r="BB31" s="541"/>
      <c r="BC31" s="541"/>
      <c r="BD31" s="541"/>
      <c r="BE31" s="541"/>
      <c r="BF31" s="541"/>
      <c r="BG31" s="541"/>
      <c r="BH31" s="541"/>
      <c r="BI31" s="541"/>
      <c r="BJ31" s="541"/>
      <c r="BK31" s="541"/>
      <c r="BL31" s="541"/>
      <c r="BM31" s="541"/>
      <c r="BN31" s="541"/>
      <c r="BO31" s="541"/>
      <c r="BP31" s="541"/>
      <c r="BQ31" s="541"/>
      <c r="BR31" s="541"/>
      <c r="BS31" s="541"/>
      <c r="BT31" s="541"/>
      <c r="BU31" s="541"/>
      <c r="BV31" s="541"/>
      <c r="BW31" s="541"/>
      <c r="BX31" s="541"/>
      <c r="BY31" s="541"/>
      <c r="BZ31" s="541"/>
      <c r="CA31" s="541"/>
      <c r="CB31" s="541"/>
      <c r="CC31" s="541"/>
      <c r="CD31" s="541"/>
      <c r="CE31" s="541"/>
      <c r="CF31" s="541"/>
      <c r="CG31" s="541"/>
      <c r="CH31" s="541"/>
      <c r="CI31" s="541"/>
      <c r="CJ31" s="541"/>
      <c r="CK31" s="541"/>
      <c r="CL31" s="541"/>
      <c r="CM31" s="541"/>
      <c r="CN31" s="541"/>
      <c r="CO31" s="541"/>
      <c r="CP31" s="541"/>
      <c r="CQ31" s="541"/>
      <c r="CR31" s="541"/>
      <c r="CS31" s="541"/>
      <c r="CT31" s="541"/>
      <c r="CU31" s="541"/>
      <c r="CV31" s="541"/>
      <c r="CW31" s="541"/>
      <c r="CX31" s="541"/>
      <c r="CY31" s="541"/>
      <c r="CZ31" s="541"/>
      <c r="DA31" s="541"/>
      <c r="DB31" s="541"/>
      <c r="DC31" s="541"/>
      <c r="DD31" s="541"/>
      <c r="DE31" s="541"/>
      <c r="DF31" s="541"/>
      <c r="DG31" s="541"/>
      <c r="DH31" s="541"/>
      <c r="DI31" s="541"/>
      <c r="DJ31" s="541"/>
      <c r="DK31" s="541"/>
      <c r="DL31" s="541"/>
      <c r="DM31" s="541"/>
      <c r="DN31" s="541"/>
      <c r="DO31" s="541"/>
      <c r="DP31" s="541"/>
      <c r="DQ31" s="541"/>
      <c r="DR31" s="541"/>
      <c r="DS31" s="541"/>
      <c r="DT31" s="541"/>
      <c r="DU31" s="541"/>
      <c r="DV31" s="541"/>
      <c r="DW31" s="541"/>
      <c r="DX31" s="541"/>
      <c r="DY31" s="541"/>
      <c r="DZ31" s="541"/>
      <c r="EA31" s="541"/>
      <c r="EB31" s="541"/>
      <c r="EC31" s="541"/>
      <c r="ED31" s="541"/>
      <c r="EE31" s="541"/>
      <c r="EF31" s="541"/>
      <c r="EG31" s="541"/>
      <c r="EH31" s="541"/>
      <c r="EI31" s="541"/>
    </row>
    <row r="32" spans="1:139" x14ac:dyDescent="0.3">
      <c r="A32" s="407"/>
      <c r="B32" s="541"/>
      <c r="C32" s="541"/>
      <c r="D32" s="541"/>
      <c r="E32" s="541"/>
      <c r="F32" s="541"/>
      <c r="G32" s="541"/>
      <c r="H32" s="541"/>
      <c r="I32" s="541"/>
      <c r="J32" s="541"/>
      <c r="K32" s="541"/>
      <c r="L32" s="541"/>
      <c r="M32" s="541"/>
      <c r="N32" s="541"/>
      <c r="O32" s="541"/>
      <c r="P32" s="541"/>
      <c r="Q32" s="541"/>
      <c r="R32" s="541"/>
      <c r="S32" s="541"/>
      <c r="T32" s="541"/>
      <c r="U32" s="541"/>
      <c r="V32" s="541"/>
      <c r="W32" s="541"/>
      <c r="X32" s="541"/>
      <c r="Y32" s="541"/>
      <c r="Z32" s="541"/>
      <c r="AA32" s="541"/>
      <c r="AB32" s="541"/>
      <c r="AC32" s="541"/>
      <c r="AD32" s="541"/>
      <c r="AE32" s="541"/>
      <c r="AF32" s="541"/>
      <c r="AG32" s="541"/>
      <c r="AH32" s="541"/>
      <c r="AI32" s="541"/>
      <c r="AJ32" s="541"/>
      <c r="AK32" s="541"/>
      <c r="AL32" s="541"/>
      <c r="AM32" s="541"/>
      <c r="AN32" s="541"/>
      <c r="AO32" s="541"/>
      <c r="AP32" s="541"/>
      <c r="AQ32" s="541"/>
      <c r="AR32" s="541"/>
      <c r="AS32" s="541"/>
      <c r="AT32" s="541"/>
      <c r="AU32" s="541"/>
      <c r="AV32" s="541"/>
      <c r="AW32" s="541"/>
      <c r="AX32" s="541"/>
      <c r="AY32" s="541"/>
      <c r="AZ32" s="541"/>
      <c r="BA32" s="541"/>
      <c r="BB32" s="541"/>
      <c r="BC32" s="541"/>
      <c r="BD32" s="541"/>
      <c r="BE32" s="541"/>
      <c r="BF32" s="541"/>
      <c r="BG32" s="541"/>
      <c r="BH32" s="541"/>
      <c r="BI32" s="541"/>
      <c r="BJ32" s="541"/>
      <c r="BK32" s="541"/>
      <c r="BL32" s="541"/>
      <c r="BM32" s="541"/>
      <c r="BN32" s="541"/>
      <c r="BO32" s="541"/>
      <c r="BP32" s="541"/>
      <c r="BQ32" s="541"/>
      <c r="BR32" s="541"/>
      <c r="BS32" s="541"/>
      <c r="BT32" s="541"/>
      <c r="BU32" s="541"/>
      <c r="BV32" s="541"/>
      <c r="BW32" s="541"/>
      <c r="BX32" s="541"/>
      <c r="BY32" s="541"/>
      <c r="BZ32" s="541"/>
      <c r="CA32" s="541"/>
      <c r="CB32" s="541"/>
      <c r="CC32" s="541"/>
      <c r="CD32" s="541"/>
      <c r="CE32" s="541"/>
      <c r="CF32" s="541"/>
      <c r="CG32" s="541"/>
      <c r="CH32" s="541"/>
      <c r="CI32" s="541"/>
      <c r="CJ32" s="541"/>
      <c r="CK32" s="541"/>
      <c r="CL32" s="541"/>
      <c r="CM32" s="541"/>
      <c r="CN32" s="541"/>
      <c r="CO32" s="541"/>
      <c r="CP32" s="541"/>
      <c r="CQ32" s="541"/>
      <c r="CR32" s="541"/>
      <c r="CS32" s="541"/>
      <c r="CT32" s="541"/>
      <c r="CU32" s="541"/>
      <c r="CV32" s="541"/>
      <c r="CW32" s="541"/>
      <c r="CX32" s="541"/>
      <c r="CY32" s="541"/>
      <c r="CZ32" s="541"/>
      <c r="DA32" s="541"/>
      <c r="DB32" s="541"/>
      <c r="DC32" s="541"/>
      <c r="DD32" s="541"/>
      <c r="DE32" s="541"/>
      <c r="DF32" s="541"/>
      <c r="DG32" s="541"/>
      <c r="DH32" s="541"/>
      <c r="DI32" s="541"/>
      <c r="DJ32" s="541"/>
      <c r="DK32" s="541"/>
      <c r="DL32" s="541"/>
      <c r="DM32" s="541"/>
      <c r="DN32" s="541"/>
      <c r="DO32" s="541"/>
      <c r="DP32" s="541"/>
      <c r="DQ32" s="541"/>
      <c r="DR32" s="541"/>
      <c r="DS32" s="541"/>
      <c r="DT32" s="541"/>
      <c r="DU32" s="541"/>
      <c r="DV32" s="541"/>
      <c r="DW32" s="541"/>
      <c r="DX32" s="541"/>
      <c r="DY32" s="541"/>
      <c r="DZ32" s="541"/>
      <c r="EA32" s="541"/>
      <c r="EB32" s="541"/>
      <c r="EC32" s="541"/>
      <c r="ED32" s="541"/>
      <c r="EE32" s="541"/>
      <c r="EF32" s="541"/>
      <c r="EG32" s="541"/>
      <c r="EH32" s="541"/>
      <c r="EI32" s="541"/>
    </row>
    <row r="33" spans="1:139" x14ac:dyDescent="0.3">
      <c r="A33" s="407"/>
      <c r="B33" s="541"/>
      <c r="C33" s="541"/>
      <c r="D33" s="541"/>
      <c r="E33" s="541"/>
      <c r="F33" s="541"/>
      <c r="G33" s="541"/>
      <c r="H33" s="541"/>
      <c r="I33" s="541"/>
      <c r="J33" s="541"/>
      <c r="K33" s="541"/>
      <c r="L33" s="541"/>
      <c r="M33" s="541"/>
      <c r="N33" s="541"/>
      <c r="O33" s="541"/>
      <c r="P33" s="541"/>
      <c r="Q33" s="541"/>
      <c r="R33" s="541"/>
      <c r="S33" s="541"/>
      <c r="T33" s="541"/>
      <c r="U33" s="541"/>
      <c r="V33" s="541"/>
      <c r="W33" s="541"/>
      <c r="X33" s="541"/>
      <c r="Y33" s="541"/>
      <c r="Z33" s="541"/>
      <c r="AA33" s="541"/>
      <c r="AB33" s="541"/>
      <c r="AC33" s="541"/>
      <c r="AD33" s="541"/>
      <c r="AE33" s="541"/>
      <c r="AF33" s="541"/>
      <c r="AG33" s="541"/>
      <c r="AH33" s="541"/>
      <c r="AI33" s="541"/>
      <c r="AJ33" s="541"/>
      <c r="AK33" s="541"/>
      <c r="AL33" s="541"/>
      <c r="AM33" s="541"/>
      <c r="AN33" s="541"/>
      <c r="AO33" s="541"/>
      <c r="AP33" s="541"/>
      <c r="AQ33" s="541"/>
      <c r="AR33" s="541"/>
      <c r="AS33" s="541"/>
      <c r="AT33" s="541"/>
      <c r="AU33" s="541"/>
      <c r="AV33" s="541"/>
      <c r="AW33" s="541"/>
      <c r="AX33" s="541"/>
      <c r="AY33" s="541"/>
      <c r="AZ33" s="541"/>
      <c r="BA33" s="541"/>
      <c r="BB33" s="541"/>
      <c r="BC33" s="541"/>
      <c r="BD33" s="541"/>
      <c r="BE33" s="541"/>
      <c r="BF33" s="541"/>
      <c r="BG33" s="541"/>
      <c r="BH33" s="541"/>
      <c r="BI33" s="541"/>
      <c r="BJ33" s="541"/>
      <c r="BK33" s="541"/>
      <c r="BL33" s="541"/>
      <c r="BM33" s="541"/>
      <c r="BN33" s="541"/>
      <c r="BO33" s="541"/>
      <c r="BP33" s="541"/>
      <c r="BQ33" s="541"/>
      <c r="BR33" s="541"/>
      <c r="BS33" s="541"/>
      <c r="BT33" s="541"/>
      <c r="BU33" s="541"/>
      <c r="BV33" s="541"/>
      <c r="BW33" s="541"/>
      <c r="BX33" s="541"/>
      <c r="BY33" s="541"/>
      <c r="BZ33" s="541"/>
      <c r="CA33" s="541"/>
      <c r="CB33" s="541"/>
      <c r="CC33" s="541"/>
      <c r="CD33" s="541"/>
      <c r="CE33" s="541"/>
      <c r="CF33" s="541"/>
      <c r="CG33" s="541"/>
      <c r="CH33" s="541"/>
      <c r="CI33" s="541"/>
      <c r="CJ33" s="541"/>
      <c r="CK33" s="541"/>
      <c r="CL33" s="541"/>
      <c r="CM33" s="541"/>
      <c r="CN33" s="541"/>
      <c r="CO33" s="541"/>
      <c r="CP33" s="541"/>
      <c r="CQ33" s="541"/>
      <c r="CR33" s="541"/>
      <c r="CS33" s="541"/>
      <c r="CT33" s="541"/>
      <c r="CU33" s="541"/>
      <c r="CV33" s="541"/>
      <c r="CW33" s="541"/>
      <c r="CX33" s="541"/>
      <c r="CY33" s="541"/>
      <c r="CZ33" s="541"/>
      <c r="DA33" s="541"/>
      <c r="DB33" s="541"/>
      <c r="DC33" s="541"/>
      <c r="DD33" s="541"/>
      <c r="DE33" s="541"/>
      <c r="DF33" s="541"/>
      <c r="DG33" s="541"/>
      <c r="DH33" s="541"/>
      <c r="DI33" s="541"/>
      <c r="DJ33" s="541"/>
      <c r="DK33" s="541"/>
      <c r="DL33" s="541"/>
      <c r="DM33" s="541"/>
      <c r="DN33" s="541"/>
      <c r="DO33" s="541"/>
      <c r="DP33" s="541"/>
      <c r="DQ33" s="541"/>
      <c r="DR33" s="541"/>
      <c r="DS33" s="541"/>
      <c r="DT33" s="541"/>
      <c r="DU33" s="541"/>
      <c r="DV33" s="541"/>
      <c r="DW33" s="541"/>
      <c r="DX33" s="541"/>
      <c r="DY33" s="541"/>
      <c r="DZ33" s="541"/>
      <c r="EA33" s="541"/>
      <c r="EB33" s="541"/>
      <c r="EC33" s="541"/>
      <c r="ED33" s="541"/>
      <c r="EE33" s="541"/>
      <c r="EF33" s="541"/>
      <c r="EG33" s="541"/>
      <c r="EH33" s="541"/>
      <c r="EI33" s="541"/>
    </row>
    <row r="36" spans="1:139" x14ac:dyDescent="0.3">
      <c r="DD36" s="563"/>
      <c r="DE36" s="564"/>
      <c r="DF36" s="563"/>
    </row>
    <row r="37" spans="1:139" x14ac:dyDescent="0.3">
      <c r="DD37" s="563"/>
      <c r="DE37" s="564"/>
      <c r="DF37" s="563"/>
    </row>
    <row r="38" spans="1:139" x14ac:dyDescent="0.3">
      <c r="DD38" s="563"/>
      <c r="DE38" s="564"/>
      <c r="DF38" s="563"/>
    </row>
    <row r="39" spans="1:139" x14ac:dyDescent="0.3">
      <c r="DD39" s="563"/>
      <c r="DE39" s="564"/>
      <c r="DF39" s="563"/>
    </row>
    <row r="40" spans="1:139" x14ac:dyDescent="0.3">
      <c r="DD40" s="563"/>
      <c r="DE40" s="564"/>
      <c r="DF40" s="563"/>
    </row>
    <row r="41" spans="1:139" x14ac:dyDescent="0.3">
      <c r="DD41" s="563"/>
      <c r="DE41" s="564"/>
      <c r="DF41" s="563"/>
    </row>
    <row r="42" spans="1:139" x14ac:dyDescent="0.3">
      <c r="DD42" s="563"/>
      <c r="DE42" s="564"/>
      <c r="DF42" s="563"/>
    </row>
    <row r="43" spans="1:139" x14ac:dyDescent="0.3">
      <c r="DD43" s="563"/>
      <c r="DE43" s="564"/>
      <c r="DF43" s="563"/>
    </row>
    <row r="44" spans="1:139" x14ac:dyDescent="0.3">
      <c r="DD44" s="563"/>
      <c r="DE44" s="564"/>
      <c r="DF44" s="563"/>
    </row>
    <row r="45" spans="1:139" x14ac:dyDescent="0.3">
      <c r="DD45" s="563"/>
      <c r="DE45" s="564"/>
      <c r="DF45" s="563"/>
    </row>
    <row r="46" spans="1:139" x14ac:dyDescent="0.3">
      <c r="DD46" s="563"/>
      <c r="DE46" s="564"/>
      <c r="DF46" s="563"/>
    </row>
    <row r="47" spans="1:139" x14ac:dyDescent="0.3">
      <c r="DD47" s="563"/>
      <c r="DE47" s="564"/>
      <c r="DF47" s="563"/>
    </row>
    <row r="48" spans="1:139" x14ac:dyDescent="0.3">
      <c r="DD48" s="563"/>
      <c r="DE48" s="564"/>
      <c r="DF48" s="563"/>
    </row>
    <row r="49" spans="108:110" x14ac:dyDescent="0.3">
      <c r="DD49" s="563"/>
      <c r="DE49" s="564"/>
      <c r="DF49" s="563"/>
    </row>
    <row r="50" spans="108:110" x14ac:dyDescent="0.3">
      <c r="DD50" s="563"/>
      <c r="DE50" s="564"/>
      <c r="DF50" s="563"/>
    </row>
    <row r="51" spans="108:110" x14ac:dyDescent="0.3">
      <c r="DD51" s="563"/>
      <c r="DE51" s="564"/>
      <c r="DF51" s="563"/>
    </row>
    <row r="52" spans="108:110" x14ac:dyDescent="0.3">
      <c r="DD52" s="563"/>
      <c r="DE52" s="564"/>
      <c r="DF52" s="563"/>
    </row>
    <row r="53" spans="108:110" x14ac:dyDescent="0.3">
      <c r="DD53" s="563"/>
      <c r="DE53" s="564"/>
      <c r="DF53" s="563"/>
    </row>
    <row r="54" spans="108:110" x14ac:dyDescent="0.3">
      <c r="DD54" s="563"/>
      <c r="DE54" s="564"/>
      <c r="DF54" s="563"/>
    </row>
    <row r="55" spans="108:110" x14ac:dyDescent="0.3">
      <c r="DD55" s="563"/>
      <c r="DE55" s="564"/>
      <c r="DF55" s="563"/>
    </row>
    <row r="56" spans="108:110" x14ac:dyDescent="0.3">
      <c r="DD56" s="563"/>
      <c r="DE56" s="564"/>
      <c r="DF56" s="563"/>
    </row>
    <row r="57" spans="108:110" x14ac:dyDescent="0.3">
      <c r="DD57" s="563"/>
      <c r="DE57" s="564"/>
      <c r="DF57" s="563"/>
    </row>
    <row r="58" spans="108:110" x14ac:dyDescent="0.3">
      <c r="DD58" s="563"/>
      <c r="DE58" s="564"/>
      <c r="DF58" s="563"/>
    </row>
    <row r="59" spans="108:110" x14ac:dyDescent="0.3">
      <c r="DD59" s="563"/>
      <c r="DE59" s="564"/>
      <c r="DF59" s="563"/>
    </row>
    <row r="60" spans="108:110" x14ac:dyDescent="0.3">
      <c r="DD60" s="563"/>
      <c r="DE60" s="564"/>
      <c r="DF60" s="563"/>
    </row>
    <row r="61" spans="108:110" x14ac:dyDescent="0.3">
      <c r="DD61" s="563"/>
      <c r="DE61" s="564"/>
      <c r="DF61" s="563"/>
    </row>
    <row r="62" spans="108:110" x14ac:dyDescent="0.3">
      <c r="DD62" s="563"/>
      <c r="DE62" s="564"/>
      <c r="DF62" s="563"/>
    </row>
    <row r="63" spans="108:110" x14ac:dyDescent="0.3">
      <c r="DD63" s="563"/>
      <c r="DE63" s="564"/>
      <c r="DF63" s="563"/>
    </row>
    <row r="64" spans="108:110" x14ac:dyDescent="0.3">
      <c r="DD64" s="563"/>
      <c r="DE64" s="564"/>
      <c r="DF64" s="563"/>
    </row>
    <row r="65" spans="108:110" x14ac:dyDescent="0.3">
      <c r="DD65" s="563"/>
      <c r="DE65" s="564"/>
      <c r="DF65" s="563"/>
    </row>
    <row r="66" spans="108:110" x14ac:dyDescent="0.3">
      <c r="DD66" s="563"/>
      <c r="DE66" s="564"/>
      <c r="DF66" s="563"/>
    </row>
    <row r="67" spans="108:110" x14ac:dyDescent="0.3">
      <c r="DD67" s="563"/>
      <c r="DE67" s="564"/>
      <c r="DF67" s="563"/>
    </row>
    <row r="68" spans="108:110" x14ac:dyDescent="0.3">
      <c r="DD68" s="563"/>
      <c r="DE68" s="564"/>
      <c r="DF68" s="563"/>
    </row>
    <row r="69" spans="108:110" x14ac:dyDescent="0.3">
      <c r="DD69" s="563"/>
      <c r="DE69" s="564"/>
      <c r="DF69" s="563"/>
    </row>
    <row r="70" spans="108:110" x14ac:dyDescent="0.3">
      <c r="DD70" s="563"/>
      <c r="DE70" s="564"/>
      <c r="DF70" s="563"/>
    </row>
    <row r="71" spans="108:110" x14ac:dyDescent="0.3">
      <c r="DD71" s="563"/>
      <c r="DE71" s="564"/>
      <c r="DF71" s="563"/>
    </row>
    <row r="72" spans="108:110" x14ac:dyDescent="0.3">
      <c r="DD72" s="563"/>
      <c r="DE72" s="564"/>
      <c r="DF72" s="563"/>
    </row>
    <row r="73" spans="108:110" x14ac:dyDescent="0.3">
      <c r="DD73" s="563"/>
      <c r="DE73" s="564"/>
      <c r="DF73" s="563"/>
    </row>
    <row r="74" spans="108:110" x14ac:dyDescent="0.3">
      <c r="DD74" s="563"/>
      <c r="DE74" s="564"/>
      <c r="DF74" s="563"/>
    </row>
    <row r="75" spans="108:110" x14ac:dyDescent="0.3">
      <c r="DD75" s="563"/>
      <c r="DE75" s="564"/>
      <c r="DF75" s="563"/>
    </row>
    <row r="76" spans="108:110" x14ac:dyDescent="0.3">
      <c r="DD76" s="563"/>
      <c r="DE76" s="564"/>
      <c r="DF76" s="563"/>
    </row>
    <row r="77" spans="108:110" x14ac:dyDescent="0.3">
      <c r="DD77" s="563"/>
      <c r="DE77" s="564"/>
      <c r="DF77" s="563"/>
    </row>
    <row r="78" spans="108:110" x14ac:dyDescent="0.3">
      <c r="DD78" s="563"/>
      <c r="DE78" s="564"/>
      <c r="DF78" s="563"/>
    </row>
    <row r="79" spans="108:110" x14ac:dyDescent="0.3">
      <c r="DD79" s="563"/>
      <c r="DE79" s="564"/>
      <c r="DF79" s="563"/>
    </row>
    <row r="80" spans="108:110" x14ac:dyDescent="0.3">
      <c r="DD80" s="563"/>
      <c r="DE80" s="564"/>
      <c r="DF80" s="563"/>
    </row>
    <row r="81" spans="108:110" x14ac:dyDescent="0.3">
      <c r="DD81" s="563"/>
      <c r="DE81" s="564"/>
      <c r="DF81" s="563"/>
    </row>
    <row r="82" spans="108:110" x14ac:dyDescent="0.3">
      <c r="DD82" s="563"/>
      <c r="DE82" s="564"/>
      <c r="DF82" s="563"/>
    </row>
    <row r="83" spans="108:110" x14ac:dyDescent="0.3">
      <c r="DD83" s="563"/>
      <c r="DE83" s="564"/>
      <c r="DF83" s="563"/>
    </row>
    <row r="84" spans="108:110" x14ac:dyDescent="0.3">
      <c r="DD84" s="565"/>
      <c r="DE84" s="564"/>
      <c r="DF84" s="565"/>
    </row>
    <row r="85" spans="108:110" x14ac:dyDescent="0.3">
      <c r="DD85" s="565"/>
      <c r="DE85" s="564"/>
      <c r="DF85" s="565"/>
    </row>
    <row r="86" spans="108:110" x14ac:dyDescent="0.3">
      <c r="DD86" s="565"/>
      <c r="DE86" s="564"/>
      <c r="DF86" s="565"/>
    </row>
    <row r="87" spans="108:110" x14ac:dyDescent="0.3">
      <c r="DD87" s="565"/>
      <c r="DE87" s="564"/>
      <c r="DF87" s="565"/>
    </row>
    <row r="88" spans="108:110" x14ac:dyDescent="0.3">
      <c r="DD88" s="565"/>
      <c r="DE88" s="564"/>
      <c r="DF88" s="565"/>
    </row>
    <row r="89" spans="108:110" x14ac:dyDescent="0.3">
      <c r="DD89" s="565"/>
      <c r="DE89" s="564"/>
      <c r="DF89" s="565"/>
    </row>
    <row r="90" spans="108:110" x14ac:dyDescent="0.3">
      <c r="DD90" s="565"/>
      <c r="DE90" s="564"/>
      <c r="DF90" s="565"/>
    </row>
    <row r="91" spans="108:110" x14ac:dyDescent="0.3">
      <c r="DD91" s="565"/>
      <c r="DE91" s="564"/>
      <c r="DF91" s="565"/>
    </row>
    <row r="92" spans="108:110" x14ac:dyDescent="0.3">
      <c r="DD92" s="565"/>
      <c r="DE92" s="564"/>
      <c r="DF92" s="565"/>
    </row>
    <row r="93" spans="108:110" x14ac:dyDescent="0.3">
      <c r="DD93" s="565"/>
      <c r="DE93" s="564"/>
      <c r="DF93" s="565"/>
    </row>
    <row r="94" spans="108:110" x14ac:dyDescent="0.3">
      <c r="DD94" s="565"/>
      <c r="DE94" s="564"/>
      <c r="DF94" s="565"/>
    </row>
    <row r="95" spans="108:110" x14ac:dyDescent="0.3">
      <c r="DD95" s="565"/>
      <c r="DE95" s="564"/>
      <c r="DF95" s="565"/>
    </row>
    <row r="96" spans="108:110" x14ac:dyDescent="0.3">
      <c r="DD96" s="565"/>
      <c r="DE96" s="564"/>
      <c r="DF96" s="565"/>
    </row>
    <row r="97" spans="108:110" x14ac:dyDescent="0.3">
      <c r="DD97" s="566"/>
      <c r="DE97" s="564"/>
      <c r="DF97" s="566"/>
    </row>
    <row r="98" spans="108:110" x14ac:dyDescent="0.3">
      <c r="DD98" s="566"/>
      <c r="DE98" s="564"/>
      <c r="DF98" s="566"/>
    </row>
    <row r="99" spans="108:110" x14ac:dyDescent="0.3">
      <c r="DD99" s="566"/>
      <c r="DE99" s="564"/>
      <c r="DF99" s="566"/>
    </row>
    <row r="100" spans="108:110" x14ac:dyDescent="0.3">
      <c r="DD100" s="566"/>
      <c r="DE100" s="564"/>
      <c r="DF100" s="566"/>
    </row>
    <row r="101" spans="108:110" x14ac:dyDescent="0.3">
      <c r="DD101" s="566"/>
      <c r="DE101" s="564"/>
      <c r="DF101" s="566"/>
    </row>
    <row r="102" spans="108:110" x14ac:dyDescent="0.3">
      <c r="DD102" s="566"/>
      <c r="DE102" s="564"/>
      <c r="DF102" s="566"/>
    </row>
    <row r="103" spans="108:110" x14ac:dyDescent="0.3">
      <c r="DD103" s="566"/>
      <c r="DE103" s="564"/>
      <c r="DF103" s="566"/>
    </row>
    <row r="104" spans="108:110" x14ac:dyDescent="0.3">
      <c r="DD104" s="566"/>
      <c r="DE104" s="564"/>
      <c r="DF104" s="566"/>
    </row>
    <row r="105" spans="108:110" x14ac:dyDescent="0.3">
      <c r="DD105" s="566"/>
      <c r="DE105" s="564"/>
      <c r="DF105" s="566"/>
    </row>
    <row r="106" spans="108:110" x14ac:dyDescent="0.3">
      <c r="DD106" s="566"/>
      <c r="DE106" s="564"/>
      <c r="DF106" s="566"/>
    </row>
    <row r="107" spans="108:110" x14ac:dyDescent="0.3">
      <c r="DD107" s="566"/>
      <c r="DE107" s="564"/>
      <c r="DF107" s="566"/>
    </row>
    <row r="108" spans="108:110" x14ac:dyDescent="0.3">
      <c r="DD108" s="566"/>
      <c r="DE108" s="564"/>
      <c r="DF108" s="566"/>
    </row>
    <row r="109" spans="108:110" x14ac:dyDescent="0.3">
      <c r="DD109" s="566"/>
      <c r="DE109" s="564"/>
      <c r="DF109" s="566"/>
    </row>
    <row r="110" spans="108:110" x14ac:dyDescent="0.3">
      <c r="DD110" s="566"/>
      <c r="DE110" s="564"/>
      <c r="DF110" s="566"/>
    </row>
    <row r="111" spans="108:110" x14ac:dyDescent="0.3">
      <c r="DD111" s="566"/>
      <c r="DE111" s="564"/>
      <c r="DF111" s="566"/>
    </row>
    <row r="112" spans="108:110" x14ac:dyDescent="0.3">
      <c r="DD112" s="566"/>
      <c r="DE112" s="564"/>
      <c r="DF112" s="566"/>
    </row>
    <row r="113" spans="108:110" x14ac:dyDescent="0.3">
      <c r="DD113" s="566"/>
      <c r="DE113" s="564"/>
      <c r="DF113" s="566"/>
    </row>
    <row r="114" spans="108:110" x14ac:dyDescent="0.3">
      <c r="DD114" s="566"/>
      <c r="DE114" s="564"/>
      <c r="DF114" s="566"/>
    </row>
    <row r="115" spans="108:110" x14ac:dyDescent="0.3">
      <c r="DD115" s="566"/>
      <c r="DE115" s="564"/>
      <c r="DF115" s="566"/>
    </row>
    <row r="116" spans="108:110" x14ac:dyDescent="0.3">
      <c r="DD116" s="566"/>
      <c r="DE116" s="564"/>
      <c r="DF116" s="566"/>
    </row>
    <row r="117" spans="108:110" x14ac:dyDescent="0.3">
      <c r="DD117" s="566"/>
      <c r="DE117" s="564"/>
      <c r="DF117" s="566"/>
    </row>
    <row r="118" spans="108:110" x14ac:dyDescent="0.3">
      <c r="DD118" s="564"/>
      <c r="DE118" s="564"/>
      <c r="DF118" s="564"/>
    </row>
    <row r="119" spans="108:110" x14ac:dyDescent="0.3">
      <c r="DD119" s="564"/>
      <c r="DE119" s="564"/>
      <c r="DF119" s="564"/>
    </row>
    <row r="120" spans="108:110" x14ac:dyDescent="0.3">
      <c r="DD120" s="564"/>
      <c r="DE120" s="564"/>
      <c r="DF120" s="564"/>
    </row>
    <row r="121" spans="108:110" x14ac:dyDescent="0.3">
      <c r="DD121" s="564"/>
      <c r="DE121" s="564"/>
      <c r="DF121" s="564"/>
    </row>
    <row r="122" spans="108:110" x14ac:dyDescent="0.3">
      <c r="DD122" s="564"/>
      <c r="DE122" s="564"/>
      <c r="DF122" s="564"/>
    </row>
    <row r="123" spans="108:110" x14ac:dyDescent="0.3">
      <c r="DD123" s="564"/>
      <c r="DE123" s="564"/>
      <c r="DF123" s="564"/>
    </row>
    <row r="124" spans="108:110" x14ac:dyDescent="0.3">
      <c r="DD124" s="564"/>
      <c r="DE124" s="564"/>
      <c r="DF124" s="564"/>
    </row>
    <row r="125" spans="108:110" x14ac:dyDescent="0.3">
      <c r="DD125" s="564"/>
      <c r="DE125" s="564"/>
      <c r="DF125" s="564"/>
    </row>
    <row r="126" spans="108:110" x14ac:dyDescent="0.3">
      <c r="DD126" s="564"/>
      <c r="DE126" s="564"/>
      <c r="DF126" s="564"/>
    </row>
    <row r="127" spans="108:110" x14ac:dyDescent="0.3">
      <c r="DD127" s="564"/>
      <c r="DE127" s="564"/>
      <c r="DF127" s="564"/>
    </row>
    <row r="128" spans="108:110" x14ac:dyDescent="0.3">
      <c r="DD128" s="564"/>
      <c r="DE128" s="564"/>
      <c r="DF128" s="564"/>
    </row>
    <row r="129" spans="108:110" x14ac:dyDescent="0.3">
      <c r="DD129" s="564"/>
      <c r="DE129" s="564"/>
      <c r="DF129" s="564"/>
    </row>
    <row r="130" spans="108:110" x14ac:dyDescent="0.3">
      <c r="DD130" s="564"/>
      <c r="DE130" s="564"/>
      <c r="DF130" s="564"/>
    </row>
    <row r="131" spans="108:110" x14ac:dyDescent="0.3">
      <c r="DD131" s="564"/>
      <c r="DE131" s="564"/>
      <c r="DF131" s="564"/>
    </row>
    <row r="132" spans="108:110" x14ac:dyDescent="0.3">
      <c r="DD132" s="564"/>
      <c r="DE132" s="564"/>
      <c r="DF132" s="564"/>
    </row>
    <row r="133" spans="108:110" x14ac:dyDescent="0.3">
      <c r="DD133" s="564"/>
      <c r="DE133" s="564"/>
      <c r="DF133" s="564"/>
    </row>
    <row r="134" spans="108:110" x14ac:dyDescent="0.3">
      <c r="DD134" s="564"/>
      <c r="DE134" s="564"/>
      <c r="DF134" s="564"/>
    </row>
    <row r="135" spans="108:110" x14ac:dyDescent="0.3">
      <c r="DD135" s="564"/>
      <c r="DE135" s="564"/>
      <c r="DF135" s="564"/>
    </row>
    <row r="136" spans="108:110" x14ac:dyDescent="0.3">
      <c r="DD136" s="564"/>
      <c r="DE136" s="564"/>
      <c r="DF136" s="564"/>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65F1F92071475276E05315230A0A9CBF" version="1.0.0">
  <systemFields>
    <field name="Objective-Id">
      <value order="0">A88290058</value>
    </field>
    <field name="Objective-Title">
      <value order="0">2023-24EconomicIndicatorsResourceDataFile</value>
    </field>
    <field name="Objective-Description">
      <value order="0"/>
    </field>
    <field name="Objective-CreationStamp">
      <value order="0">2025-02-19T08:02:06Z</value>
    </field>
    <field name="Objective-IsApproved">
      <value order="0">false</value>
    </field>
    <field name="Objective-IsPublished">
      <value order="0">true</value>
    </field>
    <field name="Objective-DatePublished">
      <value order="0">2025-02-19T08:02:10Z</value>
    </field>
    <field name="Objective-ModificationStamp">
      <value order="0">2025-02-19T08:02:11Z</value>
    </field>
    <field name="Objective-Owner">
      <value order="0">BEDNARSKI, Sabrina</value>
    </field>
    <field name="Objective-Path">
      <value order="0">DEMIRS Global Folder:02 Corporate File Plan:Resource and Environmental Regulation Group:RER Files:Community Relations:Promotions:Media and Creative - Stakeholder Engagement - GSRSD - 2023 onwards:Website Migration Project 2025:Resource data and information:Western Australia's resources sector statistics</value>
    </field>
    <field name="Objective-Parent">
      <value order="0">Western Australia's resources sector statistics</value>
    </field>
    <field name="Objective-State">
      <value order="0">Published</value>
    </field>
    <field name="Objective-VersionId">
      <value order="0">vA94767610</value>
    </field>
    <field name="Objective-Version">
      <value order="0">1.0</value>
    </field>
    <field name="Objective-VersionNumber">
      <value order="0">1</value>
    </field>
    <field name="Objective-VersionComment">
      <value order="0"/>
    </field>
    <field name="Objective-FileNumber">
      <value order="0">DMS0638/2023</value>
    </field>
    <field name="Objective-Classification">
      <value order="0">OFFICIAL</value>
    </field>
    <field name="Objective-Caveats">
      <value order="0"/>
    </field>
  </systemFields>
  <catalogues>
    <catalogue name="Divisional Document Type Catalogue" type="type" ori="id:cA39">
      <field name="Objective-Divisional Document Types">
        <value order="0"/>
      </field>
      <field name="Objective-Warning">
        <value order="0"/>
      </field>
      <field name="Objective-Author">
        <value order="0"/>
      </field>
      <field name="Objective-Date of Document">
        <value order="0"/>
      </field>
      <field name="Objective-External Reference">
        <value order="0"/>
      </field>
      <field name="Objective-Internal Reference">
        <value order="0"/>
      </field>
      <field name="Objective-Archive Box">
        <value order="0"/>
      </field>
      <field name="Objective-Migrated Id">
        <value order="0"/>
      </field>
      <field name="Objective-Foreign Barcode">
        <value order="0"/>
      </field>
      <field name="Objective-PCI DSS Checked">
        <value order="0"/>
      </field>
      <field name="Objective-End User">
        <value order="0"/>
      </field>
      <field name="Objective-Additional File Numbers">
        <value order="0"/>
      </field>
      <field name="Objective-Record Number">
        <value order="0"/>
      </field>
      <field name="Objective-Graphic Content">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65F1F92071475276E05315230A0A9CB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Index</vt:lpstr>
      <vt:lpstr>Data Sources</vt:lpstr>
      <vt:lpstr>How To Use</vt:lpstr>
      <vt:lpstr>Mining Economic Impact</vt:lpstr>
      <vt:lpstr>Exports 2-years</vt:lpstr>
      <vt:lpstr>Exports Historic</vt:lpstr>
      <vt:lpstr>Mining Investment</vt:lpstr>
      <vt:lpstr>Min. Expl. By Commodity (Data)</vt:lpstr>
      <vt:lpstr>Min. Expl. By Commodity</vt:lpstr>
      <vt:lpstr>Min. Expl. By Type</vt:lpstr>
      <vt:lpstr>Min. Expl. Metres Drilled</vt:lpstr>
      <vt:lpstr>Pet. Exploration Expenditure</vt:lpstr>
      <vt:lpstr>Pet. Expl. By Location</vt:lpstr>
      <vt:lpstr>Royalties 2-years</vt:lpstr>
      <vt:lpstr>Royalties Historic</vt:lpstr>
      <vt:lpstr>Mining Employment CY</vt:lpstr>
      <vt:lpstr>Mining Employment FY</vt:lpstr>
      <vt:lpstr>Mining Employment Report Period</vt:lpstr>
      <vt:lpstr>Mining Employment By Project</vt:lpstr>
      <vt:lpstr>Mining Employment CY Pre-2001</vt:lpstr>
      <vt:lpstr>Petroleum Employment</vt:lpstr>
      <vt:lpstr>Pet. Emp. Jan 2010 to Mar 2022</vt:lpstr>
    </vt:vector>
  </TitlesOfParts>
  <Company>Department of Mines and Petroleum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CHARLESWORTH, Mark</dc:creator>
  <cp:lastModifiedBy>CHING, Zenly</cp:lastModifiedBy>
  <dcterms:created xsi:type="dcterms:W3CDTF">2024-09-17T03:18:55Z</dcterms:created>
  <dcterms:modified xsi:type="dcterms:W3CDTF">2025-02-21T06:44:45Z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A88290058</vt:lpwstr>
  </property>
  <property fmtid="{D5CDD505-2E9C-101B-9397-08002B2CF9AE}" pid="4" name="Objective-Title">
    <vt:lpwstr>2023-24EconomicIndicatorsResourceDataFile</vt:lpwstr>
  </property>
  <property fmtid="{D5CDD505-2E9C-101B-9397-08002B2CF9AE}" pid="5" name="Objective-Description">
    <vt:lpwstr/>
  </property>
  <property fmtid="{D5CDD505-2E9C-101B-9397-08002B2CF9AE}" pid="6" name="Objective-CreationStamp">
    <vt:filetime>2025-02-19T08:02:06Z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2025-02-19T08:02:10Z</vt:filetime>
  </property>
  <property fmtid="{D5CDD505-2E9C-101B-9397-08002B2CF9AE}" pid="10" name="Objective-ModificationStamp">
    <vt:filetime>2025-02-19T08:02:11Z</vt:filetime>
  </property>
  <property fmtid="{D5CDD505-2E9C-101B-9397-08002B2CF9AE}" pid="11" name="Objective-Owner">
    <vt:lpwstr>BEDNARSKI, Sabrina</vt:lpwstr>
  </property>
  <property fmtid="{D5CDD505-2E9C-101B-9397-08002B2CF9AE}" pid="12" name="Objective-Path">
    <vt:lpwstr>DEMIRS Global Folder:02 Corporate File Plan:Resource and Environmental Regulation Group:RER Files:Community Relations:Promotions:Media and Creative - Stakeholder Engagement - GSRSD - 2023 onwards:Website Migration Project 2025:Resource data and information:Western Australia's resources sector statistics</vt:lpwstr>
  </property>
  <property fmtid="{D5CDD505-2E9C-101B-9397-08002B2CF9AE}" pid="13" name="Objective-Parent">
    <vt:lpwstr>Western Australia's resources sector statistics</vt:lpwstr>
  </property>
  <property fmtid="{D5CDD505-2E9C-101B-9397-08002B2CF9AE}" pid="14" name="Objective-State">
    <vt:lpwstr>Published</vt:lpwstr>
  </property>
  <property fmtid="{D5CDD505-2E9C-101B-9397-08002B2CF9AE}" pid="15" name="Objective-VersionId">
    <vt:lpwstr>vA94767610</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
  </property>
  <property fmtid="{D5CDD505-2E9C-101B-9397-08002B2CF9AE}" pid="19" name="Objective-FileNumber">
    <vt:lpwstr>DMS0638/2023</vt:lpwstr>
  </property>
  <property fmtid="{D5CDD505-2E9C-101B-9397-08002B2CF9AE}" pid="20" name="Objective-Classification">
    <vt:lpwstr>OFFICIAL</vt:lpwstr>
  </property>
  <property fmtid="{D5CDD505-2E9C-101B-9397-08002B2CF9AE}" pid="21" name="Objective-Caveats">
    <vt:lpwstr/>
  </property>
  <property fmtid="{D5CDD505-2E9C-101B-9397-08002B2CF9AE}" pid="22" name="Objective-Divisional Document Types">
    <vt:lpwstr/>
  </property>
  <property fmtid="{D5CDD505-2E9C-101B-9397-08002B2CF9AE}" pid="23" name="Objective-Author">
    <vt:lpwstr/>
  </property>
  <property fmtid="{D5CDD505-2E9C-101B-9397-08002B2CF9AE}" pid="24" name="Objective-Date of Document">
    <vt:lpwstr/>
  </property>
  <property fmtid="{D5CDD505-2E9C-101B-9397-08002B2CF9AE}" pid="25" name="Objective-External Reference">
    <vt:lpwstr/>
  </property>
  <property fmtid="{D5CDD505-2E9C-101B-9397-08002B2CF9AE}" pid="26" name="Objective-Internal Reference">
    <vt:lpwstr/>
  </property>
  <property fmtid="{D5CDD505-2E9C-101B-9397-08002B2CF9AE}" pid="27" name="Objective-Archive Box">
    <vt:lpwstr/>
  </property>
  <property fmtid="{D5CDD505-2E9C-101B-9397-08002B2CF9AE}" pid="28" name="Objective-Migrated Id">
    <vt:lpwstr/>
  </property>
  <property fmtid="{D5CDD505-2E9C-101B-9397-08002B2CF9AE}" pid="29" name="Objective-Foreign Barcode">
    <vt:lpwstr/>
  </property>
  <property fmtid="{D5CDD505-2E9C-101B-9397-08002B2CF9AE}" pid="30" name="Objective-PCI DSS Checked">
    <vt:lpwstr/>
  </property>
  <property fmtid="{D5CDD505-2E9C-101B-9397-08002B2CF9AE}" pid="31" name="Objective-End User">
    <vt:lpwstr/>
  </property>
  <property fmtid="{D5CDD505-2E9C-101B-9397-08002B2CF9AE}" pid="32" name="Objective-Additional File Numbers">
    <vt:lpwstr/>
  </property>
  <property fmtid="{D5CDD505-2E9C-101B-9397-08002B2CF9AE}" pid="33" name="Objective-Record Number">
    <vt:lpwstr/>
  </property>
  <property fmtid="{D5CDD505-2E9C-101B-9397-08002B2CF9AE}" pid="34" name="Objective-Warning">
    <vt:lpwstr/>
  </property>
  <property fmtid="{D5CDD505-2E9C-101B-9397-08002B2CF9AE}" pid="35" name="Objective-Graphic Content">
    <vt:lpwstr/>
  </property>
</Properties>
</file>